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director\data\bse\"/>
    </mc:Choice>
  </mc:AlternateContent>
  <bookViews>
    <workbookView xWindow="0" yWindow="0" windowWidth="16457" windowHeight="5991" activeTab="4"/>
  </bookViews>
  <sheets>
    <sheet name="Exercise1" sheetId="5" r:id="rId1"/>
    <sheet name="Exercise2" sheetId="2" r:id="rId2"/>
    <sheet name="Exercise3" sheetId="7" r:id="rId3"/>
    <sheet name="Exercise4" sheetId="8" r:id="rId4"/>
    <sheet name="standardPop" sheetId="6" r:id="rId5"/>
    <sheet name="incidence" sheetId="4" r:id="rId6"/>
    <sheet name="Screening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6" l="1"/>
  <c r="E15" i="6"/>
  <c r="E6" i="6"/>
  <c r="A7" i="7" l="1"/>
  <c r="C5" i="7"/>
  <c r="A7" i="9" l="1"/>
  <c r="C5" i="9"/>
  <c r="C6" i="8"/>
  <c r="A8" i="8"/>
  <c r="D10" i="8" l="1"/>
  <c r="C13" i="8" s="1"/>
  <c r="C10" i="8"/>
  <c r="C12" i="8" s="1"/>
  <c r="E9" i="8"/>
  <c r="C15" i="8" s="1"/>
  <c r="E8" i="8"/>
  <c r="C14" i="8" s="1"/>
  <c r="E10" i="8" l="1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16" i="8" l="1"/>
  <c r="C17" i="8"/>
  <c r="D15" i="7"/>
  <c r="D14" i="7"/>
  <c r="E8" i="7"/>
  <c r="E7" i="7"/>
  <c r="D9" i="7"/>
  <c r="C9" i="7"/>
  <c r="B23" i="7" l="1"/>
  <c r="F16" i="7"/>
  <c r="D23" i="7" s="1"/>
  <c r="D16" i="7"/>
  <c r="C23" i="7" s="1"/>
  <c r="F23" i="7" s="1"/>
  <c r="D11" i="7"/>
  <c r="B22" i="7" s="1"/>
  <c r="D12" i="7"/>
  <c r="E9" i="7"/>
  <c r="C26" i="7" s="1"/>
  <c r="D26" i="7" s="1"/>
  <c r="E26" i="7" s="1"/>
  <c r="B22" i="6"/>
  <c r="G18" i="5"/>
  <c r="C18" i="5"/>
  <c r="G10" i="5"/>
  <c r="C10" i="5"/>
  <c r="E23" i="7" l="1"/>
  <c r="F11" i="7"/>
  <c r="D13" i="7"/>
  <c r="C22" i="7" s="1"/>
  <c r="F22" i="7" s="1"/>
  <c r="F13" i="7"/>
  <c r="D22" i="7" s="1"/>
  <c r="B9" i="5"/>
  <c r="E17" i="5"/>
  <c r="C17" i="5"/>
  <c r="B17" i="5"/>
  <c r="F16" i="5"/>
  <c r="D16" i="5"/>
  <c r="G16" i="5" s="1"/>
  <c r="F15" i="5"/>
  <c r="D15" i="5"/>
  <c r="G15" i="5" s="1"/>
  <c r="F14" i="5"/>
  <c r="D14" i="5"/>
  <c r="G14" i="5" s="1"/>
  <c r="E9" i="5"/>
  <c r="C9" i="5"/>
  <c r="F8" i="5"/>
  <c r="D8" i="5"/>
  <c r="G8" i="5" s="1"/>
  <c r="F7" i="5"/>
  <c r="D7" i="5"/>
  <c r="G7" i="5" s="1"/>
  <c r="F6" i="5"/>
  <c r="D6" i="5"/>
  <c r="E24" i="4"/>
  <c r="C24" i="4"/>
  <c r="F23" i="4"/>
  <c r="D23" i="4"/>
  <c r="G23" i="4" s="1"/>
  <c r="G22" i="4"/>
  <c r="F22" i="4"/>
  <c r="D22" i="4"/>
  <c r="F21" i="4"/>
  <c r="D21" i="4"/>
  <c r="G21" i="4" s="1"/>
  <c r="F20" i="4"/>
  <c r="D20" i="4"/>
  <c r="G20" i="4" s="1"/>
  <c r="C19" i="4"/>
  <c r="F19" i="4" s="1"/>
  <c r="B19" i="4"/>
  <c r="D19" i="4" s="1"/>
  <c r="G19" i="4" s="1"/>
  <c r="F18" i="4"/>
  <c r="D18" i="4"/>
  <c r="G18" i="4" s="1"/>
  <c r="F17" i="4"/>
  <c r="D17" i="4"/>
  <c r="G17" i="4" s="1"/>
  <c r="F16" i="4"/>
  <c r="D16" i="4"/>
  <c r="G16" i="4" s="1"/>
  <c r="G15" i="4"/>
  <c r="F15" i="4"/>
  <c r="D15" i="4"/>
  <c r="F14" i="4"/>
  <c r="D14" i="4"/>
  <c r="G14" i="4" s="1"/>
  <c r="F13" i="4"/>
  <c r="D13" i="4"/>
  <c r="G13" i="4" s="1"/>
  <c r="G12" i="4"/>
  <c r="F12" i="4"/>
  <c r="D12" i="4"/>
  <c r="F11" i="4"/>
  <c r="D11" i="4"/>
  <c r="G11" i="4" s="1"/>
  <c r="F10" i="4"/>
  <c r="D10" i="4"/>
  <c r="G10" i="4" s="1"/>
  <c r="F9" i="4"/>
  <c r="D9" i="4"/>
  <c r="G9" i="4" s="1"/>
  <c r="F8" i="4"/>
  <c r="D8" i="4"/>
  <c r="G8" i="4" s="1"/>
  <c r="G7" i="4"/>
  <c r="F7" i="4"/>
  <c r="D7" i="4"/>
  <c r="F6" i="4"/>
  <c r="D6" i="4"/>
  <c r="G6" i="4" s="1"/>
  <c r="F5" i="4"/>
  <c r="D5" i="4"/>
  <c r="G5" i="4" s="1"/>
  <c r="E24" i="2"/>
  <c r="C24" i="2"/>
  <c r="F23" i="2"/>
  <c r="D23" i="2"/>
  <c r="G23" i="2" s="1"/>
  <c r="F22" i="2"/>
  <c r="D22" i="2"/>
  <c r="G22" i="2" s="1"/>
  <c r="F21" i="2"/>
  <c r="D21" i="2"/>
  <c r="G21" i="2" s="1"/>
  <c r="F20" i="2"/>
  <c r="D20" i="2"/>
  <c r="G20" i="2" s="1"/>
  <c r="F19" i="2"/>
  <c r="D19" i="2"/>
  <c r="G19" i="2" s="1"/>
  <c r="G18" i="2"/>
  <c r="F18" i="2"/>
  <c r="D18" i="2"/>
  <c r="F17" i="2"/>
  <c r="D17" i="2"/>
  <c r="G17" i="2" s="1"/>
  <c r="F16" i="2"/>
  <c r="D16" i="2"/>
  <c r="G16" i="2" s="1"/>
  <c r="F15" i="2"/>
  <c r="D15" i="2"/>
  <c r="G15" i="2" s="1"/>
  <c r="F14" i="2"/>
  <c r="D14" i="2"/>
  <c r="G14" i="2" s="1"/>
  <c r="F13" i="2"/>
  <c r="D13" i="2"/>
  <c r="G13" i="2" s="1"/>
  <c r="F12" i="2"/>
  <c r="D12" i="2"/>
  <c r="G12" i="2" s="1"/>
  <c r="F11" i="2"/>
  <c r="D11" i="2"/>
  <c r="G11" i="2" s="1"/>
  <c r="F10" i="2"/>
  <c r="D10" i="2"/>
  <c r="G10" i="2" s="1"/>
  <c r="F9" i="2"/>
  <c r="D9" i="2"/>
  <c r="G9" i="2" s="1"/>
  <c r="F8" i="2"/>
  <c r="D8" i="2"/>
  <c r="G8" i="2" s="1"/>
  <c r="F7" i="2"/>
  <c r="D7" i="2"/>
  <c r="G7" i="2" s="1"/>
  <c r="F6" i="2"/>
  <c r="D6" i="2"/>
  <c r="G6" i="2" s="1"/>
  <c r="F5" i="2"/>
  <c r="D5" i="2"/>
  <c r="G5" i="2" s="1"/>
  <c r="E22" i="7" l="1"/>
  <c r="B18" i="5"/>
  <c r="B10" i="5"/>
  <c r="G17" i="5"/>
  <c r="F17" i="5"/>
  <c r="F9" i="5"/>
  <c r="G6" i="5"/>
  <c r="G9" i="5" s="1"/>
  <c r="F24" i="2"/>
  <c r="G24" i="4"/>
  <c r="G25" i="4" s="1"/>
  <c r="F24" i="4"/>
  <c r="B24" i="4"/>
  <c r="C25" i="4" s="1"/>
  <c r="G24" i="2"/>
  <c r="B24" i="2"/>
  <c r="C25" i="2" s="1"/>
  <c r="F10" i="5" l="1"/>
  <c r="F18" i="5"/>
  <c r="G25" i="2"/>
</calcChain>
</file>

<file path=xl/sharedStrings.xml><?xml version="1.0" encoding="utf-8"?>
<sst xmlns="http://schemas.openxmlformats.org/spreadsheetml/2006/main" count="233" uniqueCount="117">
  <si>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</si>
  <si>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</si>
  <si>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</si>
  <si>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</si>
  <si>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</si>
  <si>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</si>
  <si>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</si>
  <si>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</si>
  <si>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</si>
  <si>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</si>
  <si>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</si>
  <si>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</si>
  <si>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</si>
  <si>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</si>
  <si>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</si>
  <si>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5-9</t>
  </si>
  <si>
    <t>10-14</t>
  </si>
  <si>
    <t>1-4</t>
  </si>
  <si>
    <t>0</t>
  </si>
  <si>
    <t>total</t>
  </si>
  <si>
    <t>Age specific rate</t>
  </si>
  <si>
    <t>Population</t>
  </si>
  <si>
    <t>New Cases</t>
  </si>
  <si>
    <t>WHO Standard Population</t>
  </si>
  <si>
    <t>ASR</t>
  </si>
  <si>
    <t>Age Group</t>
  </si>
  <si>
    <t>Adjusted Cases</t>
  </si>
  <si>
    <t>Crude incidence  rate /แสน/ปี</t>
  </si>
  <si>
    <t>Standard Pop to be used</t>
  </si>
  <si>
    <t>ปี</t>
  </si>
  <si>
    <t>Crude and Aged Standardized Incidence Rate (ใส่ข้อมูลได้เฉพาะ Cell สีเหลือง)</t>
  </si>
  <si>
    <t>ระยะเวลา</t>
  </si>
  <si>
    <t>คน</t>
  </si>
  <si>
    <t>ชื่อโครงการ</t>
  </si>
  <si>
    <t>หน่วยต่อประชากร</t>
  </si>
  <si>
    <t>สืบสานพระราชปณิธานสมเด็จย่าต้านภัยมะเร็งเต้านม</t>
  </si>
  <si>
    <t>0-14</t>
  </si>
  <si>
    <t>15-59</t>
  </si>
  <si>
    <t>&gt;=60 ปี</t>
  </si>
  <si>
    <t>Area 1</t>
  </si>
  <si>
    <t>Area 2</t>
  </si>
  <si>
    <t>Crude incidence</t>
  </si>
  <si>
    <t>B</t>
  </si>
  <si>
    <t>C</t>
  </si>
  <si>
    <t>D=C/B</t>
  </si>
  <si>
    <t>E</t>
  </si>
  <si>
    <t>F</t>
  </si>
  <si>
    <t>WHO Standard Population 2020-2025</t>
  </si>
  <si>
    <t>G=D*F</t>
  </si>
  <si>
    <t>Exposure</t>
  </si>
  <si>
    <t>E+</t>
  </si>
  <si>
    <t>E-</t>
  </si>
  <si>
    <t>D+</t>
  </si>
  <si>
    <t>D-</t>
  </si>
  <si>
    <t>Total</t>
  </si>
  <si>
    <t>RR =</t>
  </si>
  <si>
    <t>OR =</t>
  </si>
  <si>
    <t>95% CI ของ OR =</t>
  </si>
  <si>
    <t>[1/a+1/b+1/c+1/d]^0.5 =</t>
  </si>
  <si>
    <t>[1/a-1/(a+b)+1/c-1/(c+d)]^0.5 =</t>
  </si>
  <si>
    <t>95% CI RR</t>
  </si>
  <si>
    <t>-</t>
  </si>
  <si>
    <t>Upper</t>
  </si>
  <si>
    <t>Lower</t>
  </si>
  <si>
    <t>Chi Square</t>
  </si>
  <si>
    <t>p value</t>
  </si>
  <si>
    <t>Chi square</t>
  </si>
  <si>
    <t>Statistic Analysis</t>
  </si>
  <si>
    <t>Relative Risk ,Odds Ratio &amp; Chi square in 2x2 Table</t>
  </si>
  <si>
    <t>Sig</t>
  </si>
  <si>
    <t>P-value</t>
  </si>
  <si>
    <t>ใส่ข้อมูลเฉพาะใน Cell ที่ระบายสีเหลือง</t>
  </si>
  <si>
    <t>OR (MH)</t>
  </si>
  <si>
    <t>RR(MH)</t>
  </si>
  <si>
    <t>Chi Square (Cochran)</t>
  </si>
  <si>
    <t>%</t>
  </si>
  <si>
    <t>Accumulate %</t>
  </si>
  <si>
    <t>+ve</t>
  </si>
  <si>
    <t>-ve</t>
  </si>
  <si>
    <t xml:space="preserve">Screening Test </t>
  </si>
  <si>
    <t>Confirmation Test</t>
  </si>
  <si>
    <t>Confirmation Test =</t>
  </si>
  <si>
    <t>Screening Test =</t>
  </si>
  <si>
    <t>Screening Test</t>
  </si>
  <si>
    <t>A</t>
  </si>
  <si>
    <t xml:space="preserve">C </t>
  </si>
  <si>
    <t>D</t>
  </si>
  <si>
    <t>A+C</t>
  </si>
  <si>
    <t>B+D</t>
  </si>
  <si>
    <t>A+B</t>
  </si>
  <si>
    <t>C+D</t>
  </si>
  <si>
    <t>A+B+C+D</t>
  </si>
  <si>
    <t>D/(B+D)</t>
  </si>
  <si>
    <t>Sensitivity =</t>
  </si>
  <si>
    <t>D/(C+D)</t>
  </si>
  <si>
    <t>A/(A+B+C+D)</t>
  </si>
  <si>
    <t>A/(A+C)</t>
  </si>
  <si>
    <t>A/(A+B)</t>
  </si>
  <si>
    <t>(A+C)/(A+B+C+D)</t>
  </si>
  <si>
    <t>A=TP</t>
  </si>
  <si>
    <t>B=FP</t>
  </si>
  <si>
    <t>C=FN</t>
  </si>
  <si>
    <t>D=TN</t>
  </si>
  <si>
    <t>Cancer Detection Rate (CDR/1000)</t>
  </si>
  <si>
    <t xml:space="preserve">Specificity = </t>
  </si>
  <si>
    <t>Postive predictive value(PPV)=</t>
  </si>
  <si>
    <t>Negative Predictive Value(NPV)=</t>
  </si>
  <si>
    <t>Cancer Rate (CR/1000)=</t>
  </si>
  <si>
    <t>Tissue Biopsy</t>
  </si>
  <si>
    <t>Mammogram</t>
  </si>
  <si>
    <t>Outcome</t>
  </si>
  <si>
    <t>Regular</t>
  </si>
  <si>
    <t>Early Stage</t>
  </si>
  <si>
    <t>Child ,Working and Ageing</t>
  </si>
  <si>
    <t>Child</t>
  </si>
  <si>
    <t>Working Age</t>
  </si>
  <si>
    <t>Ageing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</si>
</sst>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87" formatCode="_-* #,##0_-;\-* #,##0_-;_-* &quot;-&quot;??_-;_-@_-"/>
    <numFmt numFmtId="188" formatCode="###0"/>
    <numFmt numFmtId="189" formatCode="_-* #,##0.00000_-;\-* #,##0.00000_-;_-* &quot;-&quot;??_-;_-@_-"/>
    <numFmt numFmtId="190" formatCode="0.0"/>
    <numFmt numFmtId="191" formatCode="#,##0.0"/>
    <numFmt numFmtId="192" formatCode="_-* #,##0.0_-;\-* #,##0.0_-;_-* &quot;-&quot;??_-;_-@_-"/>
    <numFmt numFmtId="193" formatCode="0.000"/>
    <numFmt numFmtId="194" formatCode="0.0000"/>
    <numFmt numFmtId="195" formatCode="0.0%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</font>
    <font>
      <sz val="12"/>
      <color theme="1"/>
      <name val="Cordia New"/>
      <family val="2"/>
    </font>
    <font>
      <sz val="12"/>
      <color rgb="FF000000"/>
      <name val="Cordia New"/>
      <family val="2"/>
    </font>
    <font>
      <sz val="12"/>
      <color indexed="8"/>
      <name val="Cordia New"/>
      <family val="2"/>
    </font>
    <font>
      <b/>
      <sz val="14"/>
      <color rgb="FF000000"/>
      <name val="Cordia New"/>
      <family val="2"/>
    </font>
    <font>
      <b/>
      <sz val="14"/>
      <color theme="1"/>
      <name val="Cordia New"/>
      <family val="2"/>
    </font>
    <font>
      <b/>
      <sz val="12"/>
      <color theme="1"/>
      <name val="Cordia New"/>
      <family val="2"/>
    </font>
    <font>
      <b/>
      <sz val="12"/>
      <color rgb="FFFF0000"/>
      <name val="Cordia New"/>
      <family val="2"/>
    </font>
    <font>
      <sz val="12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ahoma"/>
      <family val="2"/>
      <scheme val="minor"/>
    </font>
    <font>
      <sz val="16"/>
      <color theme="1"/>
      <name val="Tahoma"/>
      <family val="2"/>
      <charset val="222"/>
      <scheme val="minor"/>
    </font>
    <font>
      <sz val="10"/>
      <color theme="4" tint="-0.249977111117893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11"/>
      <color theme="4" tint="-0.249977111117893"/>
      <name val="Tahoma"/>
      <family val="2"/>
      <charset val="222"/>
      <scheme val="minor"/>
    </font>
    <font>
      <sz val="9"/>
      <color rgb="FFFF0000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4" fillId="0" borderId="1" xfId="0" quotePrefix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16" fontId="4" fillId="0" borderId="1" xfId="0" quotePrefix="1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89" fontId="3" fillId="0" borderId="1" xfId="0" applyNumberFormat="1" applyFont="1" applyBorder="1"/>
    <xf numFmtId="43" fontId="3" fillId="0" borderId="1" xfId="0" applyNumberFormat="1" applyFon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9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87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87" fontId="3" fillId="3" borderId="1" xfId="1" applyNumberFormat="1" applyFont="1" applyFill="1" applyBorder="1" applyProtection="1">
      <protection locked="0"/>
    </xf>
    <xf numFmtId="188" fontId="5" fillId="3" borderId="1" xfId="2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191" fontId="3" fillId="2" borderId="1" xfId="0" applyNumberFormat="1" applyFont="1" applyFill="1" applyBorder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7" fillId="0" borderId="0" xfId="0" applyFont="1" applyAlignment="1"/>
    <xf numFmtId="0" fontId="7" fillId="3" borderId="4" xfId="0" applyFont="1" applyFill="1" applyBorder="1" applyAlignment="1" applyProtection="1">
      <alignment horizontal="center"/>
      <protection locked="0"/>
    </xf>
    <xf numFmtId="187" fontId="7" fillId="3" borderId="4" xfId="1" applyNumberFormat="1" applyFont="1" applyFill="1" applyBorder="1" applyAlignment="1" applyProtection="1">
      <protection locked="0"/>
    </xf>
    <xf numFmtId="0" fontId="7" fillId="0" borderId="0" xfId="0" applyFont="1" applyFill="1" applyBorder="1" applyAlignment="1">
      <alignment horizontal="center"/>
    </xf>
    <xf numFmtId="187" fontId="7" fillId="3" borderId="1" xfId="1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192" fontId="3" fillId="4" borderId="1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7" fontId="9" fillId="0" borderId="0" xfId="1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19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93" fontId="0" fillId="0" borderId="0" xfId="0" applyNumberFormat="1" applyBorder="1" applyAlignment="1">
      <alignment vertical="center"/>
    </xf>
    <xf numFmtId="193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93" fontId="0" fillId="0" borderId="1" xfId="0" applyNumberFormat="1" applyBorder="1" applyAlignment="1">
      <alignment vertical="center"/>
    </xf>
    <xf numFmtId="10" fontId="3" fillId="0" borderId="1" xfId="3" applyNumberFormat="1" applyFont="1" applyBorder="1"/>
    <xf numFmtId="10" fontId="3" fillId="0" borderId="1" xfId="0" applyNumberFormat="1" applyFont="1" applyBorder="1"/>
    <xf numFmtId="10" fontId="3" fillId="3" borderId="1" xfId="0" applyNumberFormat="1" applyFont="1" applyFill="1" applyBorder="1"/>
    <xf numFmtId="195" fontId="0" fillId="0" borderId="0" xfId="3" applyNumberFormat="1" applyFont="1"/>
    <xf numFmtId="190" fontId="0" fillId="0" borderId="0" xfId="0" applyNumberFormat="1"/>
    <xf numFmtId="187" fontId="0" fillId="3" borderId="1" xfId="1" applyNumberFormat="1" applyFont="1" applyFill="1" applyBorder="1" applyAlignment="1" applyProtection="1">
      <alignment horizontal="right"/>
      <protection locked="0"/>
    </xf>
    <xf numFmtId="187" fontId="0" fillId="0" borderId="1" xfId="1" applyNumberFormat="1" applyFont="1" applyBorder="1"/>
    <xf numFmtId="0" fontId="14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187" fontId="0" fillId="0" borderId="0" xfId="1" applyNumberFormat="1" applyFont="1" applyBorder="1"/>
    <xf numFmtId="0" fontId="12" fillId="2" borderId="1" xfId="0" quotePrefix="1" applyFont="1" applyFill="1" applyBorder="1" applyAlignment="1">
      <alignment horizontal="center" vertical="center"/>
    </xf>
    <xf numFmtId="0" fontId="11" fillId="5" borderId="1" xfId="0" quotePrefix="1" applyFont="1" applyFill="1" applyBorder="1" applyAlignment="1">
      <alignment horizontal="center" vertical="center"/>
    </xf>
    <xf numFmtId="187" fontId="0" fillId="3" borderId="1" xfId="1" applyNumberFormat="1" applyFont="1" applyFill="1" applyBorder="1" applyAlignment="1" applyProtection="1">
      <alignment horizontal="right" vertical="center"/>
      <protection locked="0"/>
    </xf>
    <xf numFmtId="187" fontId="0" fillId="6" borderId="1" xfId="1" applyNumberFormat="1" applyFont="1" applyFill="1" applyBorder="1" applyAlignment="1">
      <alignment vertical="center"/>
    </xf>
    <xf numFmtId="187" fontId="0" fillId="3" borderId="1" xfId="1" applyNumberFormat="1" applyFont="1" applyFill="1" applyBorder="1" applyAlignment="1" applyProtection="1">
      <alignment horizontal="center" vertical="center"/>
      <protection locked="0"/>
    </xf>
    <xf numFmtId="187" fontId="0" fillId="6" borderId="1" xfId="1" applyNumberFormat="1" applyFont="1" applyFill="1" applyBorder="1" applyAlignment="1">
      <alignment horizontal="center" vertical="center"/>
    </xf>
    <xf numFmtId="195" fontId="15" fillId="0" borderId="0" xfId="3" applyNumberFormat="1" applyFont="1"/>
    <xf numFmtId="190" fontId="15" fillId="0" borderId="0" xfId="0" applyNumberFormat="1" applyFont="1"/>
    <xf numFmtId="195" fontId="17" fillId="0" borderId="0" xfId="3" applyNumberFormat="1" applyFont="1"/>
    <xf numFmtId="0" fontId="17" fillId="0" borderId="0" xfId="0" applyFont="1"/>
    <xf numFmtId="0" fontId="0" fillId="0" borderId="1" xfId="0" applyBorder="1" applyAlignment="1">
      <alignment horizontal="center" vertical="center"/>
    </xf>
    <xf numFmtId="0" fontId="10" fillId="5" borderId="1" xfId="0" quotePrefix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9" fontId="6" fillId="4" borderId="1" xfId="3" applyFont="1" applyFill="1" applyBorder="1" applyAlignment="1" applyProtection="1">
      <alignment horizontal="center" vertical="center" wrapText="1"/>
      <protection locked="0"/>
    </xf>
    <xf numFmtId="9" fontId="8" fillId="4" borderId="1" xfId="3" applyFont="1" applyFill="1" applyBorder="1" applyAlignment="1">
      <alignment horizontal="center" vertical="center" wrapText="1"/>
    </xf>
    <xf numFmtId="9" fontId="8" fillId="4" borderId="1" xfId="3" applyFont="1" applyFill="1" applyBorder="1" applyAlignment="1">
      <alignment horizontal="center" vertical="center"/>
    </xf>
    <xf numFmtId="3" fontId="3" fillId="4" borderId="1" xfId="0" applyNumberFormat="1" applyFont="1" applyFill="1" applyBorder="1"/>
    <xf numFmtId="10" fontId="3" fillId="4" borderId="1" xfId="3" applyNumberFormat="1" applyFont="1" applyFill="1" applyBorder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3" borderId="1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 textRotation="90" wrapText="1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3" borderId="11" xfId="0" applyFont="1" applyFill="1" applyBorder="1" applyAlignment="1" applyProtection="1">
      <alignment horizontal="left"/>
      <protection locked="0"/>
    </xf>
    <xf numFmtId="0" fontId="16" fillId="3" borderId="12" xfId="0" applyFont="1" applyFill="1" applyBorder="1" applyAlignment="1" applyProtection="1">
      <alignment horizontal="left"/>
      <protection locked="0"/>
    </xf>
    <xf numFmtId="0" fontId="16" fillId="3" borderId="14" xfId="0" applyFont="1" applyFill="1" applyBorder="1" applyAlignment="1" applyProtection="1">
      <alignment horizontal="left"/>
      <protection locked="0"/>
    </xf>
    <xf numFmtId="0" fontId="16" fillId="3" borderId="15" xfId="0" applyFont="1" applyFill="1" applyBorder="1" applyAlignment="1" applyProtection="1">
      <alignment horizontal="left"/>
      <protection locked="0"/>
    </xf>
    <xf numFmtId="0" fontId="19" fillId="0" borderId="8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Normal_Sheet1" xfId="2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9" workbookViewId="0">
      <selection activeCell="E20" sqref="E20"/>
    </sheetView>
  </sheetViews>
  <sheetFormatPr defaultRowHeight="18.45" x14ac:dyDescent="0.75"/>
  <cols>
    <col min="1" max="1" width="10.42578125" style="1" customWidth="1"/>
    <col min="2" max="2" width="10.35546875" style="1" bestFit="1" customWidth="1"/>
    <col min="3" max="3" width="9.35546875" style="1" bestFit="1" customWidth="1"/>
    <col min="4" max="4" width="9.140625" style="1"/>
    <col min="5" max="6" width="10.92578125" style="1" customWidth="1"/>
    <col min="7" max="16384" width="9.140625" style="1"/>
  </cols>
  <sheetData>
    <row r="1" spans="1:7" ht="20.6" x14ac:dyDescent="0.75">
      <c r="A1" s="89" t="s">
        <v>30</v>
      </c>
      <c r="B1" s="89"/>
      <c r="C1" s="89"/>
      <c r="D1" s="89"/>
      <c r="E1" s="89"/>
      <c r="F1" s="89"/>
      <c r="G1" s="89"/>
    </row>
    <row r="2" spans="1:7" ht="20.6" x14ac:dyDescent="0.75">
      <c r="A2" s="24" t="s">
        <v>33</v>
      </c>
      <c r="B2" s="90" t="s">
        <v>35</v>
      </c>
      <c r="C2" s="90"/>
      <c r="D2" s="90"/>
      <c r="E2" s="90"/>
      <c r="F2" s="90"/>
      <c r="G2" s="90"/>
    </row>
    <row r="3" spans="1:7" ht="20.6" x14ac:dyDescent="0.75">
      <c r="A3" s="89" t="s">
        <v>34</v>
      </c>
      <c r="B3" s="89"/>
      <c r="C3" s="32">
        <v>100000</v>
      </c>
      <c r="D3" s="25" t="s">
        <v>32</v>
      </c>
      <c r="E3" s="24" t="s">
        <v>31</v>
      </c>
      <c r="F3" s="18">
        <v>1</v>
      </c>
      <c r="G3" s="24" t="s">
        <v>29</v>
      </c>
    </row>
    <row r="4" spans="1:7" ht="20.6" x14ac:dyDescent="0.75">
      <c r="A4" s="31" t="s">
        <v>39</v>
      </c>
      <c r="B4" s="38" t="s">
        <v>42</v>
      </c>
      <c r="C4" s="39" t="s">
        <v>43</v>
      </c>
      <c r="D4" s="38" t="s">
        <v>44</v>
      </c>
      <c r="E4" s="38" t="s">
        <v>45</v>
      </c>
      <c r="F4" s="40" t="s">
        <v>46</v>
      </c>
      <c r="G4" s="38" t="s">
        <v>48</v>
      </c>
    </row>
    <row r="5" spans="1:7" ht="41.15" x14ac:dyDescent="0.75">
      <c r="A5" s="13" t="s">
        <v>25</v>
      </c>
      <c r="B5" s="14" t="s">
        <v>21</v>
      </c>
      <c r="C5" s="15" t="s">
        <v>22</v>
      </c>
      <c r="D5" s="15" t="s">
        <v>20</v>
      </c>
      <c r="E5" s="20" t="s">
        <v>23</v>
      </c>
      <c r="F5" s="20" t="s">
        <v>28</v>
      </c>
      <c r="G5" s="15" t="s">
        <v>26</v>
      </c>
    </row>
    <row r="6" spans="1:7" x14ac:dyDescent="0.75">
      <c r="A6" s="2" t="s">
        <v>36</v>
      </c>
      <c r="B6" s="16">
        <v>50000</v>
      </c>
      <c r="C6" s="16">
        <v>100</v>
      </c>
      <c r="D6" s="6">
        <f>IF(B6=0,0,C6/B6)</f>
        <v>2E-3</v>
      </c>
      <c r="E6" s="3">
        <v>26139</v>
      </c>
      <c r="F6" s="3">
        <f>IF(C6=0,0,E6)</f>
        <v>26139</v>
      </c>
      <c r="G6" s="7">
        <f>D6*E6</f>
        <v>52.277999999999999</v>
      </c>
    </row>
    <row r="7" spans="1:7" x14ac:dyDescent="0.75">
      <c r="A7" s="2" t="s">
        <v>37</v>
      </c>
      <c r="B7" s="16">
        <v>200000</v>
      </c>
      <c r="C7" s="16">
        <v>200</v>
      </c>
      <c r="D7" s="6">
        <f>IF(B7=0,0,C7/B7)</f>
        <v>1E-3</v>
      </c>
      <c r="E7" s="3">
        <v>61920.7</v>
      </c>
      <c r="F7" s="3">
        <f>IF(C7=0,0,E7)</f>
        <v>61920.7</v>
      </c>
      <c r="G7" s="7">
        <f>D7*E7</f>
        <v>61.920699999999997</v>
      </c>
    </row>
    <row r="8" spans="1:7" x14ac:dyDescent="0.75">
      <c r="A8" s="4" t="s">
        <v>38</v>
      </c>
      <c r="B8" s="16">
        <v>50000</v>
      </c>
      <c r="C8" s="16">
        <v>100</v>
      </c>
      <c r="D8" s="6">
        <f>IF(B8=0,0,C8/B8)</f>
        <v>2E-3</v>
      </c>
      <c r="E8" s="3">
        <v>11940.1</v>
      </c>
      <c r="F8" s="3">
        <f>IF(C8=0,0,E8)</f>
        <v>11940.1</v>
      </c>
      <c r="G8" s="7">
        <f>D8*E8</f>
        <v>23.880200000000002</v>
      </c>
    </row>
    <row r="9" spans="1:7" x14ac:dyDescent="0.75">
      <c r="A9" s="8" t="s">
        <v>19</v>
      </c>
      <c r="B9" s="9">
        <f>SUM(B6:B8)</f>
        <v>300000</v>
      </c>
      <c r="C9" s="9">
        <f>SUM(C6:C8)</f>
        <v>400</v>
      </c>
      <c r="D9" s="8"/>
      <c r="E9" s="9">
        <f>SUM(E6:E8)</f>
        <v>99999.8</v>
      </c>
      <c r="F9" s="9">
        <f>SUM(F6:F8)</f>
        <v>99999.8</v>
      </c>
      <c r="G9" s="21">
        <f>SUM(G6:G8)</f>
        <v>138.0789</v>
      </c>
    </row>
    <row r="10" spans="1:7" x14ac:dyDescent="0.75">
      <c r="A10" s="33" t="s">
        <v>41</v>
      </c>
      <c r="B10" s="37">
        <f>C9*$C$3/(B9*$F$3)</f>
        <v>133.33333333333334</v>
      </c>
      <c r="C10" s="34" t="str">
        <f>CONCATENATE("/",$C$3)</f>
        <v>/100000</v>
      </c>
      <c r="D10" s="35"/>
      <c r="E10" s="36" t="s">
        <v>24</v>
      </c>
      <c r="F10" s="37">
        <f>G9*$C$3/(F9*$F$3)</f>
        <v>138.07917615835231</v>
      </c>
      <c r="G10" s="34" t="str">
        <f>CONCATENATE("/",$C$3)</f>
        <v>/100000</v>
      </c>
    </row>
    <row r="12" spans="1:7" ht="20.6" x14ac:dyDescent="0.75">
      <c r="A12" s="31" t="s">
        <v>40</v>
      </c>
      <c r="B12" s="38" t="s">
        <v>42</v>
      </c>
      <c r="C12" s="39" t="s">
        <v>43</v>
      </c>
      <c r="D12" s="38" t="s">
        <v>44</v>
      </c>
      <c r="E12" s="38" t="s">
        <v>45</v>
      </c>
      <c r="F12" s="40" t="s">
        <v>46</v>
      </c>
      <c r="G12" s="38" t="s">
        <v>48</v>
      </c>
    </row>
    <row r="13" spans="1:7" ht="41.15" x14ac:dyDescent="0.75">
      <c r="A13" s="13" t="s">
        <v>25</v>
      </c>
      <c r="B13" s="14" t="s">
        <v>21</v>
      </c>
      <c r="C13" s="15" t="s">
        <v>22</v>
      </c>
      <c r="D13" s="15" t="s">
        <v>20</v>
      </c>
      <c r="E13" s="20" t="s">
        <v>23</v>
      </c>
      <c r="F13" s="20" t="s">
        <v>28</v>
      </c>
      <c r="G13" s="15" t="s">
        <v>26</v>
      </c>
    </row>
    <row r="14" spans="1:7" x14ac:dyDescent="0.75">
      <c r="A14" s="2" t="s">
        <v>36</v>
      </c>
      <c r="B14" s="16">
        <v>25000</v>
      </c>
      <c r="C14" s="16">
        <v>50</v>
      </c>
      <c r="D14" s="6">
        <f>IF(B14=0,0,C14/B14)</f>
        <v>2E-3</v>
      </c>
      <c r="E14" s="3">
        <v>26139</v>
      </c>
      <c r="F14" s="3">
        <f>IF(C14=0,0,E14)</f>
        <v>26139</v>
      </c>
      <c r="G14" s="7">
        <f>D14*E14</f>
        <v>52.277999999999999</v>
      </c>
    </row>
    <row r="15" spans="1:7" x14ac:dyDescent="0.75">
      <c r="A15" s="2" t="s">
        <v>37</v>
      </c>
      <c r="B15" s="16">
        <v>210000</v>
      </c>
      <c r="C15" s="16">
        <v>225</v>
      </c>
      <c r="D15" s="6">
        <f>IF(B15=0,0,C15/B15)</f>
        <v>1.0714285714285715E-3</v>
      </c>
      <c r="E15" s="3">
        <v>61920.7</v>
      </c>
      <c r="F15" s="3">
        <f>IF(C15=0,0,E15)</f>
        <v>61920.7</v>
      </c>
      <c r="G15" s="7">
        <f>D15*E15</f>
        <v>66.343607142857138</v>
      </c>
    </row>
    <row r="16" spans="1:7" x14ac:dyDescent="0.75">
      <c r="A16" s="4" t="s">
        <v>38</v>
      </c>
      <c r="B16" s="16">
        <v>65000</v>
      </c>
      <c r="C16" s="16">
        <v>125</v>
      </c>
      <c r="D16" s="6">
        <f>IF(B16=0,0,C16/B16)</f>
        <v>1.9230769230769232E-3</v>
      </c>
      <c r="E16" s="3">
        <v>11940.1</v>
      </c>
      <c r="F16" s="3">
        <f>IF(C16=0,0,E16)</f>
        <v>11940.1</v>
      </c>
      <c r="G16" s="7">
        <f>D16*E16</f>
        <v>22.961730769230773</v>
      </c>
    </row>
    <row r="17" spans="1:7" x14ac:dyDescent="0.75">
      <c r="A17" s="8" t="s">
        <v>19</v>
      </c>
      <c r="B17" s="9">
        <f>SUM(B14:B16)</f>
        <v>300000</v>
      </c>
      <c r="C17" s="9">
        <f>SUM(C14:C16)</f>
        <v>400</v>
      </c>
      <c r="D17" s="8"/>
      <c r="E17" s="9">
        <f>SUM(E14:E16)</f>
        <v>99999.8</v>
      </c>
      <c r="F17" s="9">
        <f>SUM(F14:F16)</f>
        <v>99999.8</v>
      </c>
      <c r="G17" s="21">
        <f>SUM(G14:G16)</f>
        <v>141.5833379120879</v>
      </c>
    </row>
    <row r="18" spans="1:7" x14ac:dyDescent="0.75">
      <c r="A18" s="33" t="s">
        <v>41</v>
      </c>
      <c r="B18" s="37">
        <f>C17*$C$3/(B17*$F$3)</f>
        <v>133.33333333333334</v>
      </c>
      <c r="C18" s="34" t="str">
        <f>CONCATENATE("/",$C$3)</f>
        <v>/100000</v>
      </c>
      <c r="D18" s="35"/>
      <c r="E18" s="36" t="s">
        <v>24</v>
      </c>
      <c r="F18" s="37">
        <f>G17*$C$3/(F17*$F$3)</f>
        <v>141.58362107933007</v>
      </c>
      <c r="G18" s="34" t="str">
        <f>CONCATENATE("/",$C$3)</f>
        <v>/100000</v>
      </c>
    </row>
  </sheetData>
  <sheetProtection algorithmName="SHA-512" hashValue="y1/P+adzYV8EohcajxZKD0mDwoENOTbmnyUoYQSlbmpQF2Kekcm8rgo1Unt3vnq6y4WxyL8v338/SKo9XYEw9A==" saltValue="HzMueE8JIJn/H1sHROwNOw==" spinCount="100000" sheet="1" objects="1" scenarios="1"/>
  <mergeCells count="3">
    <mergeCell ref="A1:G1"/>
    <mergeCell ref="B2:G2"/>
    <mergeCell ref="A3:B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2" sqref="B2:G2"/>
    </sheetView>
  </sheetViews>
  <sheetFormatPr defaultRowHeight="18.45" x14ac:dyDescent="0.75"/>
  <cols>
    <col min="1" max="1" width="10.42578125" style="1" customWidth="1"/>
    <col min="2" max="2" width="10.35546875" style="1" bestFit="1" customWidth="1"/>
    <col min="3" max="3" width="9.35546875" style="1" bestFit="1" customWidth="1"/>
    <col min="4" max="4" width="9.140625" style="1"/>
    <col min="5" max="6" width="10.92578125" style="1" customWidth="1"/>
    <col min="7" max="16384" width="9.140625" style="1"/>
  </cols>
  <sheetData>
    <row r="1" spans="1:7" ht="20.6" x14ac:dyDescent="0.75">
      <c r="A1" s="89" t="s">
        <v>30</v>
      </c>
      <c r="B1" s="89"/>
      <c r="C1" s="89"/>
      <c r="D1" s="89"/>
      <c r="E1" s="89"/>
      <c r="F1" s="89"/>
      <c r="G1" s="89"/>
    </row>
    <row r="2" spans="1:7" ht="20.6" x14ac:dyDescent="0.75">
      <c r="A2" s="24" t="s">
        <v>33</v>
      </c>
      <c r="B2" s="90"/>
      <c r="C2" s="90"/>
      <c r="D2" s="90"/>
      <c r="E2" s="90"/>
      <c r="F2" s="90"/>
      <c r="G2" s="90"/>
    </row>
    <row r="3" spans="1:7" ht="20.6" x14ac:dyDescent="0.75">
      <c r="A3" s="89" t="s">
        <v>34</v>
      </c>
      <c r="B3" s="89"/>
      <c r="C3" s="30"/>
      <c r="D3" s="28" t="s">
        <v>32</v>
      </c>
      <c r="E3" s="24" t="s">
        <v>31</v>
      </c>
      <c r="F3" s="29"/>
      <c r="G3" s="24" t="s">
        <v>29</v>
      </c>
    </row>
    <row r="4" spans="1:7" ht="41.15" x14ac:dyDescent="0.75">
      <c r="A4" s="26" t="s">
        <v>25</v>
      </c>
      <c r="B4" s="14" t="s">
        <v>21</v>
      </c>
      <c r="C4" s="15" t="s">
        <v>22</v>
      </c>
      <c r="D4" s="15" t="s">
        <v>20</v>
      </c>
      <c r="E4" s="20" t="s">
        <v>23</v>
      </c>
      <c r="F4" s="20" t="s">
        <v>28</v>
      </c>
      <c r="G4" s="15" t="s">
        <v>26</v>
      </c>
    </row>
    <row r="5" spans="1:7" x14ac:dyDescent="0.75">
      <c r="A5" s="2" t="s">
        <v>18</v>
      </c>
      <c r="B5" s="19"/>
      <c r="C5" s="19"/>
      <c r="D5" s="6">
        <f>IF(B5=0,0,C5/B5)</f>
        <v>0</v>
      </c>
      <c r="E5" s="3">
        <v>1822</v>
      </c>
      <c r="F5" s="3">
        <f>IF(C5=0,0,E5)</f>
        <v>0</v>
      </c>
      <c r="G5" s="7">
        <f t="shared" ref="G5:G23" si="0">D5*E5</f>
        <v>0</v>
      </c>
    </row>
    <row r="6" spans="1:7" x14ac:dyDescent="0.75">
      <c r="A6" s="2" t="s">
        <v>17</v>
      </c>
      <c r="B6" s="19"/>
      <c r="C6" s="19"/>
      <c r="D6" s="6">
        <f t="shared" ref="D6:D23" si="1">IF(B6=0,0,C6/B6)</f>
        <v>0</v>
      </c>
      <c r="E6" s="3">
        <v>7033</v>
      </c>
      <c r="F6" s="3">
        <f t="shared" ref="F6:F23" si="2">IF(C6=0,0,E6)</f>
        <v>0</v>
      </c>
      <c r="G6" s="7">
        <f t="shared" si="0"/>
        <v>0</v>
      </c>
    </row>
    <row r="7" spans="1:7" x14ac:dyDescent="0.75">
      <c r="A7" s="4" t="s">
        <v>15</v>
      </c>
      <c r="B7" s="19"/>
      <c r="C7" s="19"/>
      <c r="D7" s="6">
        <f t="shared" si="1"/>
        <v>0</v>
      </c>
      <c r="E7" s="3">
        <v>8687</v>
      </c>
      <c r="F7" s="3">
        <f t="shared" si="2"/>
        <v>0</v>
      </c>
      <c r="G7" s="7">
        <f t="shared" si="0"/>
        <v>0</v>
      </c>
    </row>
    <row r="8" spans="1:7" x14ac:dyDescent="0.75">
      <c r="A8" s="4" t="s">
        <v>16</v>
      </c>
      <c r="B8" s="19"/>
      <c r="C8" s="19"/>
      <c r="D8" s="6">
        <f t="shared" si="1"/>
        <v>0</v>
      </c>
      <c r="E8" s="3">
        <v>8597</v>
      </c>
      <c r="F8" s="3">
        <f t="shared" si="2"/>
        <v>0</v>
      </c>
      <c r="G8" s="7">
        <f t="shared" si="0"/>
        <v>0</v>
      </c>
    </row>
    <row r="9" spans="1:7" x14ac:dyDescent="0.75">
      <c r="A9" s="5" t="s">
        <v>0</v>
      </c>
      <c r="B9" s="19"/>
      <c r="C9" s="19"/>
      <c r="D9" s="6">
        <f t="shared" si="1"/>
        <v>0</v>
      </c>
      <c r="E9" s="3">
        <v>8474.1</v>
      </c>
      <c r="F9" s="3">
        <f t="shared" si="2"/>
        <v>0</v>
      </c>
      <c r="G9" s="7">
        <f t="shared" si="0"/>
        <v>0</v>
      </c>
    </row>
    <row r="10" spans="1:7" x14ac:dyDescent="0.75">
      <c r="A10" s="5" t="s">
        <v>1</v>
      </c>
      <c r="B10" s="19"/>
      <c r="C10" s="19"/>
      <c r="D10" s="6">
        <f t="shared" si="1"/>
        <v>0</v>
      </c>
      <c r="E10" s="3">
        <v>8222.1</v>
      </c>
      <c r="F10" s="3">
        <f t="shared" si="2"/>
        <v>0</v>
      </c>
      <c r="G10" s="7">
        <f t="shared" si="0"/>
        <v>0</v>
      </c>
    </row>
    <row r="11" spans="1:7" x14ac:dyDescent="0.75">
      <c r="A11" s="5" t="s">
        <v>2</v>
      </c>
      <c r="B11" s="19"/>
      <c r="C11" s="19"/>
      <c r="D11" s="6">
        <f t="shared" si="1"/>
        <v>0</v>
      </c>
      <c r="E11" s="3">
        <v>7928</v>
      </c>
      <c r="F11" s="3">
        <f t="shared" si="2"/>
        <v>0</v>
      </c>
      <c r="G11" s="7">
        <f t="shared" si="0"/>
        <v>0</v>
      </c>
    </row>
    <row r="12" spans="1:7" x14ac:dyDescent="0.75">
      <c r="A12" s="5" t="s">
        <v>3</v>
      </c>
      <c r="B12" s="16"/>
      <c r="C12" s="17"/>
      <c r="D12" s="6">
        <f t="shared" si="1"/>
        <v>0</v>
      </c>
      <c r="E12" s="3">
        <v>7605.1</v>
      </c>
      <c r="F12" s="3">
        <f t="shared" si="2"/>
        <v>0</v>
      </c>
      <c r="G12" s="7">
        <f t="shared" si="0"/>
        <v>0</v>
      </c>
    </row>
    <row r="13" spans="1:7" x14ac:dyDescent="0.75">
      <c r="A13" s="5" t="s">
        <v>4</v>
      </c>
      <c r="B13" s="16"/>
      <c r="C13" s="17"/>
      <c r="D13" s="6">
        <f t="shared" si="1"/>
        <v>0</v>
      </c>
      <c r="E13" s="3">
        <v>7145.1</v>
      </c>
      <c r="F13" s="3">
        <f t="shared" si="2"/>
        <v>0</v>
      </c>
      <c r="G13" s="7">
        <f t="shared" si="0"/>
        <v>0</v>
      </c>
    </row>
    <row r="14" spans="1:7" x14ac:dyDescent="0.75">
      <c r="A14" s="5" t="s">
        <v>5</v>
      </c>
      <c r="B14" s="16"/>
      <c r="C14" s="17"/>
      <c r="D14" s="6">
        <f t="shared" si="1"/>
        <v>0</v>
      </c>
      <c r="E14" s="3">
        <v>6590.1</v>
      </c>
      <c r="F14" s="3">
        <f t="shared" si="2"/>
        <v>0</v>
      </c>
      <c r="G14" s="7">
        <f t="shared" si="0"/>
        <v>0</v>
      </c>
    </row>
    <row r="15" spans="1:7" x14ac:dyDescent="0.75">
      <c r="A15" s="5" t="s">
        <v>6</v>
      </c>
      <c r="B15" s="16"/>
      <c r="C15" s="17"/>
      <c r="D15" s="6">
        <f t="shared" si="1"/>
        <v>0</v>
      </c>
      <c r="E15" s="3">
        <v>6038.1</v>
      </c>
      <c r="F15" s="3">
        <f t="shared" si="2"/>
        <v>0</v>
      </c>
      <c r="G15" s="7">
        <f t="shared" si="0"/>
        <v>0</v>
      </c>
    </row>
    <row r="16" spans="1:7" x14ac:dyDescent="0.75">
      <c r="A16" s="5" t="s">
        <v>7</v>
      </c>
      <c r="B16" s="16"/>
      <c r="C16" s="17"/>
      <c r="D16" s="6">
        <f t="shared" si="1"/>
        <v>0</v>
      </c>
      <c r="E16" s="3">
        <v>5371</v>
      </c>
      <c r="F16" s="3">
        <f t="shared" si="2"/>
        <v>0</v>
      </c>
      <c r="G16" s="7">
        <f t="shared" si="0"/>
        <v>0</v>
      </c>
    </row>
    <row r="17" spans="1:7" x14ac:dyDescent="0.75">
      <c r="A17" s="5" t="s">
        <v>8</v>
      </c>
      <c r="B17" s="16"/>
      <c r="C17" s="17"/>
      <c r="D17" s="6">
        <f t="shared" si="1"/>
        <v>0</v>
      </c>
      <c r="E17" s="3">
        <v>4547.1000000000004</v>
      </c>
      <c r="F17" s="3">
        <f t="shared" si="2"/>
        <v>0</v>
      </c>
      <c r="G17" s="7">
        <f t="shared" si="0"/>
        <v>0</v>
      </c>
    </row>
    <row r="18" spans="1:7" x14ac:dyDescent="0.75">
      <c r="A18" s="5" t="s">
        <v>9</v>
      </c>
      <c r="B18" s="16"/>
      <c r="C18" s="17"/>
      <c r="D18" s="6">
        <f t="shared" si="1"/>
        <v>0</v>
      </c>
      <c r="E18" s="3">
        <v>3723.1</v>
      </c>
      <c r="F18" s="3">
        <f t="shared" si="2"/>
        <v>0</v>
      </c>
      <c r="G18" s="7">
        <f t="shared" si="0"/>
        <v>0</v>
      </c>
    </row>
    <row r="19" spans="1:7" x14ac:dyDescent="0.75">
      <c r="A19" s="5" t="s">
        <v>10</v>
      </c>
      <c r="B19" s="16"/>
      <c r="C19" s="17"/>
      <c r="D19" s="6">
        <f t="shared" si="1"/>
        <v>0</v>
      </c>
      <c r="E19" s="3">
        <v>2955</v>
      </c>
      <c r="F19" s="3">
        <f t="shared" si="2"/>
        <v>0</v>
      </c>
      <c r="G19" s="7">
        <f t="shared" si="0"/>
        <v>0</v>
      </c>
    </row>
    <row r="20" spans="1:7" x14ac:dyDescent="0.75">
      <c r="A20" s="5" t="s">
        <v>11</v>
      </c>
      <c r="B20" s="16"/>
      <c r="C20" s="17"/>
      <c r="D20" s="6">
        <f t="shared" si="1"/>
        <v>0</v>
      </c>
      <c r="E20" s="3">
        <v>2210</v>
      </c>
      <c r="F20" s="3">
        <f t="shared" si="2"/>
        <v>0</v>
      </c>
      <c r="G20" s="7">
        <f t="shared" si="0"/>
        <v>0</v>
      </c>
    </row>
    <row r="21" spans="1:7" x14ac:dyDescent="0.75">
      <c r="A21" s="5" t="s">
        <v>12</v>
      </c>
      <c r="B21" s="16"/>
      <c r="C21" s="17"/>
      <c r="D21" s="6">
        <f t="shared" si="1"/>
        <v>0</v>
      </c>
      <c r="E21" s="3">
        <v>1515</v>
      </c>
      <c r="F21" s="3">
        <f t="shared" si="2"/>
        <v>0</v>
      </c>
      <c r="G21" s="7">
        <f t="shared" si="0"/>
        <v>0</v>
      </c>
    </row>
    <row r="22" spans="1:7" x14ac:dyDescent="0.75">
      <c r="A22" s="5" t="s">
        <v>13</v>
      </c>
      <c r="B22" s="16"/>
      <c r="C22" s="17"/>
      <c r="D22" s="6">
        <f t="shared" si="1"/>
        <v>0</v>
      </c>
      <c r="E22" s="3">
        <v>905</v>
      </c>
      <c r="F22" s="3">
        <f t="shared" si="2"/>
        <v>0</v>
      </c>
      <c r="G22" s="7">
        <f t="shared" si="0"/>
        <v>0</v>
      </c>
    </row>
    <row r="23" spans="1:7" x14ac:dyDescent="0.75">
      <c r="A23" s="5" t="s">
        <v>14</v>
      </c>
      <c r="B23" s="16"/>
      <c r="C23" s="17"/>
      <c r="D23" s="6">
        <f t="shared" si="1"/>
        <v>0</v>
      </c>
      <c r="E23" s="3">
        <v>632</v>
      </c>
      <c r="F23" s="3">
        <f t="shared" si="2"/>
        <v>0</v>
      </c>
      <c r="G23" s="7">
        <f t="shared" si="0"/>
        <v>0</v>
      </c>
    </row>
    <row r="24" spans="1:7" x14ac:dyDescent="0.75">
      <c r="A24" s="8" t="s">
        <v>19</v>
      </c>
      <c r="B24" s="9">
        <f>SUM(B5:B23)</f>
        <v>0</v>
      </c>
      <c r="C24" s="9">
        <f>SUM(C5:C23)</f>
        <v>0</v>
      </c>
      <c r="D24" s="8"/>
      <c r="E24" s="9">
        <f>SUM(E5:E23)</f>
        <v>99999.800000000017</v>
      </c>
      <c r="F24" s="9">
        <f>SUM(F5:F23)</f>
        <v>0</v>
      </c>
      <c r="G24" s="21">
        <f>SUM(G5:G23)</f>
        <v>0</v>
      </c>
    </row>
    <row r="25" spans="1:7" x14ac:dyDescent="0.75">
      <c r="A25" s="27" t="s">
        <v>27</v>
      </c>
      <c r="B25" s="11"/>
      <c r="C25" s="12" t="e">
        <f>C24*100000/(B24*F3)</f>
        <v>#DIV/0!</v>
      </c>
      <c r="D25" s="22"/>
      <c r="E25" s="23"/>
      <c r="F25" s="10" t="s">
        <v>24</v>
      </c>
      <c r="G25" s="12" t="e">
        <f>G24*100000/(F24*F3)</f>
        <v>#DIV/0!</v>
      </c>
    </row>
  </sheetData>
  <sheetProtection algorithmName="SHA-512" hashValue="1fbV1XOPSKtog/uBjgpSLv6NFewSjKRD14SUBBg3vVPMYDTPEoqXRMfANUlJQM/Sk9qwLXf+Ho/Oy20iBtmLCw==" saltValue="bS6dX7gJyFX4PoILKkj8FA==" spinCount="100000" sheet="1" objects="1" scenarios="1"/>
  <mergeCells count="3">
    <mergeCell ref="A1:G1"/>
    <mergeCell ref="B2:G2"/>
    <mergeCell ref="A3:B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3" zoomScale="80" zoomScaleNormal="80" workbookViewId="0">
      <selection activeCell="K5" sqref="K5"/>
    </sheetView>
  </sheetViews>
  <sheetFormatPr defaultRowHeight="13.75" x14ac:dyDescent="0.3"/>
  <cols>
    <col min="1" max="1" width="8.28515625" customWidth="1"/>
    <col min="3" max="3" width="14.0703125" customWidth="1"/>
    <col min="4" max="4" width="12.78515625" customWidth="1"/>
    <col min="6" max="6" width="0" hidden="1" customWidth="1"/>
  </cols>
  <sheetData>
    <row r="1" spans="1:6" ht="15" x14ac:dyDescent="0.35">
      <c r="A1" s="96" t="s">
        <v>68</v>
      </c>
      <c r="B1" s="96"/>
      <c r="C1" s="96"/>
      <c r="D1" s="96"/>
      <c r="E1" s="96"/>
    </row>
    <row r="2" spans="1:6" ht="15" x14ac:dyDescent="0.35">
      <c r="A2" s="104" t="s">
        <v>49</v>
      </c>
      <c r="B2" s="104"/>
      <c r="C2" s="105" t="s">
        <v>111</v>
      </c>
      <c r="D2" s="105"/>
      <c r="E2" s="83"/>
    </row>
    <row r="3" spans="1:6" ht="15" x14ac:dyDescent="0.35">
      <c r="A3" s="104" t="s">
        <v>110</v>
      </c>
      <c r="B3" s="104"/>
      <c r="C3" s="105" t="s">
        <v>112</v>
      </c>
      <c r="D3" s="105"/>
      <c r="E3" s="83"/>
    </row>
    <row r="4" spans="1:6" x14ac:dyDescent="0.3">
      <c r="A4" s="95" t="s">
        <v>71</v>
      </c>
      <c r="B4" s="95"/>
      <c r="C4" s="95"/>
      <c r="D4" s="95"/>
      <c r="E4" s="95"/>
    </row>
    <row r="5" spans="1:6" ht="24.9" customHeight="1" x14ac:dyDescent="0.3">
      <c r="A5" s="99"/>
      <c r="B5" s="99"/>
      <c r="C5" s="98" t="str">
        <f>C3</f>
        <v>Early Stage</v>
      </c>
      <c r="D5" s="98"/>
      <c r="E5" s="102" t="s">
        <v>54</v>
      </c>
    </row>
    <row r="6" spans="1:6" ht="30" customHeight="1" x14ac:dyDescent="0.3">
      <c r="A6" s="99"/>
      <c r="B6" s="99"/>
      <c r="C6" s="42" t="s">
        <v>52</v>
      </c>
      <c r="D6" s="42" t="s">
        <v>53</v>
      </c>
      <c r="E6" s="103"/>
    </row>
    <row r="7" spans="1:6" ht="33.9" customHeight="1" x14ac:dyDescent="0.3">
      <c r="A7" s="97" t="str">
        <f>C2</f>
        <v>Regular</v>
      </c>
      <c r="B7" s="43" t="s">
        <v>50</v>
      </c>
      <c r="C7" s="66">
        <v>1300</v>
      </c>
      <c r="D7" s="66">
        <v>550</v>
      </c>
      <c r="E7" s="67">
        <f>C7+D7</f>
        <v>1850</v>
      </c>
    </row>
    <row r="8" spans="1:6" ht="37.299999999999997" customHeight="1" x14ac:dyDescent="0.3">
      <c r="A8" s="97"/>
      <c r="B8" s="43" t="s">
        <v>51</v>
      </c>
      <c r="C8" s="66">
        <v>458</v>
      </c>
      <c r="D8" s="66">
        <v>249</v>
      </c>
      <c r="E8" s="67">
        <f>C8+D8</f>
        <v>707</v>
      </c>
    </row>
    <row r="9" spans="1:6" ht="30.9" customHeight="1" x14ac:dyDescent="0.3">
      <c r="A9" s="100" t="s">
        <v>54</v>
      </c>
      <c r="B9" s="101"/>
      <c r="C9" s="67">
        <f>C7+C8</f>
        <v>1758</v>
      </c>
      <c r="D9" s="67">
        <f>D7+D8</f>
        <v>799</v>
      </c>
      <c r="E9" s="67">
        <f>C9+D9</f>
        <v>2557</v>
      </c>
    </row>
    <row r="10" spans="1:6" ht="15" customHeight="1" x14ac:dyDescent="0.3">
      <c r="A10" s="44"/>
      <c r="B10" s="44"/>
      <c r="C10" s="45"/>
      <c r="D10" s="45"/>
      <c r="E10" s="45"/>
    </row>
    <row r="11" spans="1:6" ht="15" hidden="1" customHeight="1" x14ac:dyDescent="0.3">
      <c r="A11" s="46" t="s">
        <v>55</v>
      </c>
      <c r="B11" s="44"/>
      <c r="C11" s="45"/>
      <c r="D11" s="47">
        <f>C7*E8/(E7*C8)</f>
        <v>1.0847397615956569</v>
      </c>
      <c r="E11" s="45"/>
      <c r="F11">
        <f>LN(D11)</f>
        <v>8.1340107159645486E-2</v>
      </c>
    </row>
    <row r="12" spans="1:6" ht="15" hidden="1" customHeight="1" x14ac:dyDescent="0.3">
      <c r="A12" t="s">
        <v>59</v>
      </c>
      <c r="D12">
        <f>(1/C7-1/E7+1/C8-1/E8)^0.5</f>
        <v>3.1585901684548001E-2</v>
      </c>
      <c r="E12" s="45"/>
    </row>
    <row r="13" spans="1:6" ht="15" hidden="1" customHeight="1" x14ac:dyDescent="0.3">
      <c r="A13" t="s">
        <v>60</v>
      </c>
      <c r="D13">
        <f>EXP(LN($D$11)-(1.96*$D$12))</f>
        <v>1.0196217649586352</v>
      </c>
      <c r="E13" s="48" t="s">
        <v>61</v>
      </c>
      <c r="F13">
        <f>EXP(LN($D$11)+(1.96*$D$12))</f>
        <v>1.1540165096753678</v>
      </c>
    </row>
    <row r="14" spans="1:6" hidden="1" x14ac:dyDescent="0.3">
      <c r="A14" s="41" t="s">
        <v>56</v>
      </c>
      <c r="D14">
        <f>C7*D8/(D7*C8)</f>
        <v>1.2850337435490273</v>
      </c>
    </row>
    <row r="15" spans="1:6" hidden="1" x14ac:dyDescent="0.3">
      <c r="A15" t="s">
        <v>58</v>
      </c>
      <c r="D15">
        <f>(1/C7+1/D7+1/C8+1/D8)^0.5</f>
        <v>9.3738375055138531E-2</v>
      </c>
    </row>
    <row r="16" spans="1:6" hidden="1" x14ac:dyDescent="0.3">
      <c r="A16" t="s">
        <v>57</v>
      </c>
      <c r="D16">
        <f>EXP(LN($D$14)-(1.96*$D$15))</f>
        <v>1.0693572451017224</v>
      </c>
      <c r="F16">
        <f>EXP(LN($D$14)+(1.96*$D$15))</f>
        <v>1.5442095984514013</v>
      </c>
    </row>
    <row r="17" spans="1:6" hidden="1" x14ac:dyDescent="0.3"/>
    <row r="18" spans="1:6" hidden="1" x14ac:dyDescent="0.3">
      <c r="A18" t="s">
        <v>65</v>
      </c>
      <c r="B18">
        <v>0.05</v>
      </c>
      <c r="C18">
        <v>0.02</v>
      </c>
      <c r="D18">
        <v>0.01</v>
      </c>
      <c r="E18">
        <v>1E-3</v>
      </c>
    </row>
    <row r="19" spans="1:6" hidden="1" x14ac:dyDescent="0.3">
      <c r="A19" t="s">
        <v>66</v>
      </c>
      <c r="B19">
        <v>3.8410000000000002</v>
      </c>
      <c r="C19">
        <v>5.4119999999999999</v>
      </c>
      <c r="D19">
        <v>6.6349999999999998</v>
      </c>
      <c r="E19">
        <v>10.827</v>
      </c>
    </row>
    <row r="20" spans="1:6" x14ac:dyDescent="0.3">
      <c r="A20" t="s">
        <v>67</v>
      </c>
    </row>
    <row r="21" spans="1:6" ht="18.899999999999999" customHeight="1" x14ac:dyDescent="0.3">
      <c r="A21" s="91"/>
      <c r="B21" s="92"/>
      <c r="C21" s="51" t="s">
        <v>63</v>
      </c>
      <c r="D21" s="51" t="s">
        <v>62</v>
      </c>
      <c r="E21" s="50" t="s">
        <v>69</v>
      </c>
    </row>
    <row r="22" spans="1:6" s="54" customFormat="1" ht="20.6" customHeight="1" x14ac:dyDescent="0.3">
      <c r="A22" s="52" t="s">
        <v>73</v>
      </c>
      <c r="B22" s="60">
        <f>D11</f>
        <v>1.0847397615956569</v>
      </c>
      <c r="C22" s="60">
        <f>D13</f>
        <v>1.0196217649586352</v>
      </c>
      <c r="D22" s="60">
        <f>F13</f>
        <v>1.1540165096753678</v>
      </c>
      <c r="E22" s="53" t="str">
        <f>IF(F22=1,"Sig",IF(D22&lt;1,"Sig","Not Sig"))</f>
        <v>Sig</v>
      </c>
      <c r="F22" s="54">
        <f>IF(C22&gt;1,1,0)</f>
        <v>1</v>
      </c>
    </row>
    <row r="23" spans="1:6" s="54" customFormat="1" ht="18.45" customHeight="1" x14ac:dyDescent="0.3">
      <c r="A23" s="52" t="s">
        <v>72</v>
      </c>
      <c r="B23" s="60">
        <f>D14</f>
        <v>1.2850337435490273</v>
      </c>
      <c r="C23" s="60">
        <f>D16</f>
        <v>1.0693572451017224</v>
      </c>
      <c r="D23" s="60">
        <f>F16</f>
        <v>1.5442095984514013</v>
      </c>
      <c r="E23" s="53" t="str">
        <f>IF(F23=1,"Sig",IF(D23&lt;1,"Sig","Not Sig"))</f>
        <v>Sig</v>
      </c>
      <c r="F23" s="54">
        <f>IF(C23&gt;1,1,0)</f>
        <v>1</v>
      </c>
    </row>
    <row r="24" spans="1:6" s="54" customFormat="1" x14ac:dyDescent="0.3">
      <c r="A24" s="55"/>
      <c r="B24" s="56"/>
      <c r="C24" s="56"/>
      <c r="D24" s="56"/>
    </row>
    <row r="25" spans="1:6" s="54" customFormat="1" ht="18.45" customHeight="1" x14ac:dyDescent="0.3">
      <c r="A25" s="94"/>
      <c r="B25" s="94"/>
      <c r="C25" s="57" t="s">
        <v>64</v>
      </c>
      <c r="D25" s="57" t="s">
        <v>70</v>
      </c>
      <c r="E25" s="58" t="s">
        <v>69</v>
      </c>
    </row>
    <row r="26" spans="1:6" s="54" customFormat="1" ht="17.149999999999999" customHeight="1" x14ac:dyDescent="0.3">
      <c r="A26" s="93" t="s">
        <v>74</v>
      </c>
      <c r="B26" s="93"/>
      <c r="C26" s="59">
        <f>E9*((D7*C8-C7*D8))^2/(E7*E8*C9*D9)</f>
        <v>7.1750151804347215</v>
      </c>
      <c r="D26" s="52">
        <f>IF(C26&lt;B19,"&gt;.05",IF(C26&lt;C19,B18,IF(C26&lt;D19,C18,IF(C26&lt;E19,C18,E18))))</f>
        <v>0.02</v>
      </c>
      <c r="E26" s="53" t="str">
        <f>IF(D26&lt;=0.05,"Sig","Not Sig")</f>
        <v>Sig</v>
      </c>
    </row>
    <row r="27" spans="1:6" x14ac:dyDescent="0.3">
      <c r="A27" s="49"/>
    </row>
  </sheetData>
  <sheetProtection algorithmName="SHA-512" hashValue="5bPgF+36hqGP1B2uhft2A4SXWEfuP6LkFday8IoyEK0OUTULLpn1UFTCMBdrOhoQtt1AM+KWiUjWVGxmOsBynw==" saltValue="Ro71Layd4FUkuhdrhc17oQ==" spinCount="100000" sheet="1" objects="1" scenarios="1"/>
  <mergeCells count="14">
    <mergeCell ref="A21:B21"/>
    <mergeCell ref="A26:B26"/>
    <mergeCell ref="A25:B25"/>
    <mergeCell ref="A4:E4"/>
    <mergeCell ref="A1:E1"/>
    <mergeCell ref="A7:A8"/>
    <mergeCell ref="C5:D5"/>
    <mergeCell ref="A5:B6"/>
    <mergeCell ref="A9:B9"/>
    <mergeCell ref="E5:E6"/>
    <mergeCell ref="A2:B2"/>
    <mergeCell ref="A3:B3"/>
    <mergeCell ref="C2:D2"/>
    <mergeCell ref="C3:D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3" zoomScale="96" zoomScaleNormal="96" workbookViewId="0">
      <selection activeCell="B9" sqref="B9"/>
    </sheetView>
  </sheetViews>
  <sheetFormatPr defaultRowHeight="13.75" x14ac:dyDescent="0.3"/>
  <cols>
    <col min="1" max="1" width="9.92578125" customWidth="1"/>
    <col min="2" max="2" width="13.7109375" customWidth="1"/>
    <col min="3" max="3" width="14.0703125" customWidth="1"/>
    <col min="4" max="4" width="12.78515625" customWidth="1"/>
    <col min="5" max="5" width="10.640625" bestFit="1" customWidth="1"/>
    <col min="6" max="6" width="0" hidden="1" customWidth="1"/>
  </cols>
  <sheetData>
    <row r="1" spans="1:5" ht="15" x14ac:dyDescent="0.35">
      <c r="A1" s="96" t="s">
        <v>79</v>
      </c>
      <c r="B1" s="96"/>
      <c r="C1" s="96"/>
      <c r="D1" s="96"/>
      <c r="E1" s="96"/>
    </row>
    <row r="2" spans="1:5" ht="14.15" thickBot="1" x14ac:dyDescent="0.35">
      <c r="A2" s="111" t="s">
        <v>71</v>
      </c>
      <c r="B2" s="111"/>
      <c r="C2" s="111"/>
      <c r="D2" s="111"/>
      <c r="E2" s="95"/>
    </row>
    <row r="3" spans="1:5" x14ac:dyDescent="0.3">
      <c r="A3" s="118" t="s">
        <v>82</v>
      </c>
      <c r="B3" s="119"/>
      <c r="C3" s="122" t="s">
        <v>109</v>
      </c>
      <c r="D3" s="123"/>
      <c r="E3" s="68"/>
    </row>
    <row r="4" spans="1:5" ht="14.15" thickBot="1" x14ac:dyDescent="0.35">
      <c r="A4" s="120" t="s">
        <v>81</v>
      </c>
      <c r="B4" s="121"/>
      <c r="C4" s="124" t="s">
        <v>108</v>
      </c>
      <c r="D4" s="125"/>
      <c r="E4" s="68"/>
    </row>
    <row r="5" spans="1:5" x14ac:dyDescent="0.3">
      <c r="A5" s="116"/>
      <c r="B5" s="116"/>
      <c r="C5" s="116"/>
      <c r="D5" s="116"/>
      <c r="E5" s="116"/>
    </row>
    <row r="6" spans="1:5" ht="24.9" customHeight="1" x14ac:dyDescent="0.3">
      <c r="A6" s="112"/>
      <c r="B6" s="112"/>
      <c r="C6" s="113" t="str">
        <f>C4</f>
        <v>Tissue Biopsy</v>
      </c>
      <c r="D6" s="113"/>
      <c r="E6" s="114" t="s">
        <v>54</v>
      </c>
    </row>
    <row r="7" spans="1:5" ht="30" customHeight="1" x14ac:dyDescent="0.3">
      <c r="A7" s="112"/>
      <c r="B7" s="112"/>
      <c r="C7" s="71" t="s">
        <v>77</v>
      </c>
      <c r="D7" s="71" t="s">
        <v>78</v>
      </c>
      <c r="E7" s="115"/>
    </row>
    <row r="8" spans="1:5" ht="33.9" customHeight="1" x14ac:dyDescent="0.3">
      <c r="A8" s="117" t="str">
        <f>C3</f>
        <v>Mammogram</v>
      </c>
      <c r="B8" s="82" t="s">
        <v>77</v>
      </c>
      <c r="C8" s="73">
        <v>975</v>
      </c>
      <c r="D8" s="73">
        <v>1269</v>
      </c>
      <c r="E8" s="74">
        <f>C8+D8</f>
        <v>2244</v>
      </c>
    </row>
    <row r="9" spans="1:5" ht="37.299999999999997" customHeight="1" x14ac:dyDescent="0.3">
      <c r="A9" s="117"/>
      <c r="B9" s="72" t="s">
        <v>78</v>
      </c>
      <c r="C9" s="73">
        <v>32</v>
      </c>
      <c r="D9" s="73">
        <v>6625</v>
      </c>
      <c r="E9" s="74">
        <f>C9+D9</f>
        <v>6657</v>
      </c>
    </row>
    <row r="10" spans="1:5" ht="30.9" customHeight="1" x14ac:dyDescent="0.3">
      <c r="A10" s="108" t="s">
        <v>54</v>
      </c>
      <c r="B10" s="109"/>
      <c r="C10" s="74">
        <f>C8+C9</f>
        <v>1007</v>
      </c>
      <c r="D10" s="74">
        <f>D8+D9</f>
        <v>7894</v>
      </c>
      <c r="E10" s="74">
        <f>C10+D10</f>
        <v>8901</v>
      </c>
    </row>
    <row r="11" spans="1:5" ht="18" customHeight="1" x14ac:dyDescent="0.3">
      <c r="A11" s="69"/>
      <c r="B11" s="69"/>
      <c r="C11" s="70"/>
      <c r="D11" s="70"/>
      <c r="E11" s="70"/>
    </row>
    <row r="12" spans="1:5" x14ac:dyDescent="0.3">
      <c r="A12" s="110" t="s">
        <v>93</v>
      </c>
      <c r="B12" s="110"/>
      <c r="C12" s="64">
        <f>C8/C10</f>
        <v>0.96822244289970205</v>
      </c>
    </row>
    <row r="13" spans="1:5" x14ac:dyDescent="0.3">
      <c r="A13" s="107" t="s">
        <v>104</v>
      </c>
      <c r="B13" s="107"/>
      <c r="C13" s="64">
        <f>D9/D10</f>
        <v>0.83924499619964532</v>
      </c>
    </row>
    <row r="14" spans="1:5" x14ac:dyDescent="0.3">
      <c r="A14" s="107" t="s">
        <v>105</v>
      </c>
      <c r="B14" s="107"/>
      <c r="C14" s="64">
        <f>C8/E8</f>
        <v>0.43449197860962568</v>
      </c>
    </row>
    <row r="15" spans="1:5" x14ac:dyDescent="0.3">
      <c r="A15" s="106" t="s">
        <v>106</v>
      </c>
      <c r="B15" s="106"/>
      <c r="C15" s="64">
        <f>D9/E9</f>
        <v>0.99519302989334535</v>
      </c>
    </row>
    <row r="16" spans="1:5" x14ac:dyDescent="0.3">
      <c r="A16" s="106" t="s">
        <v>103</v>
      </c>
      <c r="B16" s="106"/>
      <c r="C16" s="65">
        <f>C8*1000/E10</f>
        <v>109.53825412874959</v>
      </c>
    </row>
    <row r="17" spans="1:3" x14ac:dyDescent="0.3">
      <c r="A17" s="106" t="s">
        <v>107</v>
      </c>
      <c r="B17" s="106"/>
      <c r="C17" s="65">
        <f>C10*1000/E10</f>
        <v>113.1333558027188</v>
      </c>
    </row>
  </sheetData>
  <sheetProtection algorithmName="SHA-512" hashValue="rWF+jONqkzwgt/HaZ98kRy7EfuL2pziHLtPsAtDt3ezjp/J/pM9mSnCEburp79Crpw3NFJgob33YyoFiyzKM3Q==" saltValue="lrNvZ9T2zxcF1x9bFQ1tmQ==" spinCount="100000" sheet="1" objects="1" scenarios="1"/>
  <mergeCells count="18">
    <mergeCell ref="A8:A9"/>
    <mergeCell ref="A3:B3"/>
    <mergeCell ref="A4:B4"/>
    <mergeCell ref="C3:D3"/>
    <mergeCell ref="C4:D4"/>
    <mergeCell ref="A1:E1"/>
    <mergeCell ref="A2:E2"/>
    <mergeCell ref="A6:B7"/>
    <mergeCell ref="C6:D6"/>
    <mergeCell ref="E6:E7"/>
    <mergeCell ref="A5:E5"/>
    <mergeCell ref="A17:B17"/>
    <mergeCell ref="A14:B14"/>
    <mergeCell ref="A15:B15"/>
    <mergeCell ref="A16:B16"/>
    <mergeCell ref="A10:B10"/>
    <mergeCell ref="A12:B12"/>
    <mergeCell ref="A13:B1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"/>
    </sheetView>
  </sheetViews>
  <sheetFormatPr defaultRowHeight="18.45" x14ac:dyDescent="0.75"/>
  <cols>
    <col min="1" max="1" width="10.78515625" style="1" customWidth="1"/>
    <col min="2" max="2" width="11.7109375" style="1" customWidth="1"/>
    <col min="3" max="4" width="9.140625" style="1"/>
    <col min="5" max="5" width="11.35546875" style="133" customWidth="1"/>
    <col min="6" max="16384" width="9.140625" style="1"/>
  </cols>
  <sheetData>
    <row r="1" spans="1:5" ht="20.6" customHeight="1" x14ac:dyDescent="0.8">
      <c r="A1" s="126" t="s">
        <v>47</v>
      </c>
      <c r="B1" s="126"/>
      <c r="C1" s="126"/>
      <c r="D1" s="126"/>
      <c r="E1" s="126"/>
    </row>
    <row r="2" spans="1:5" ht="35.15" x14ac:dyDescent="0.75">
      <c r="A2" s="84" t="s">
        <v>25</v>
      </c>
      <c r="B2" s="85" t="s">
        <v>23</v>
      </c>
      <c r="C2" s="86" t="s">
        <v>75</v>
      </c>
      <c r="D2" s="86" t="s">
        <v>76</v>
      </c>
      <c r="E2" s="85" t="s">
        <v>113</v>
      </c>
    </row>
    <row r="3" spans="1:5" x14ac:dyDescent="0.75">
      <c r="A3" s="2" t="s">
        <v>18</v>
      </c>
      <c r="B3" s="3">
        <v>1822</v>
      </c>
      <c r="C3" s="61">
        <f>B3/$B$22</f>
        <v>1.8220036440072876E-2</v>
      </c>
      <c r="D3" s="62">
        <f>SUM(C3:$C$3)</f>
        <v>1.8220036440072876E-2</v>
      </c>
      <c r="E3" s="129"/>
    </row>
    <row r="4" spans="1:5" x14ac:dyDescent="0.75">
      <c r="A4" s="2" t="s">
        <v>17</v>
      </c>
      <c r="B4" s="3">
        <v>7033</v>
      </c>
      <c r="C4" s="61">
        <f t="shared" ref="C4:C22" si="0">B4/$B$22</f>
        <v>7.0330140660281315E-2</v>
      </c>
      <c r="D4" s="62">
        <f>SUM(C$3:$C4)</f>
        <v>8.8550177100354191E-2</v>
      </c>
      <c r="E4" s="129"/>
    </row>
    <row r="5" spans="1:5" x14ac:dyDescent="0.75">
      <c r="A5" s="4" t="s">
        <v>15</v>
      </c>
      <c r="B5" s="3">
        <v>8687</v>
      </c>
      <c r="C5" s="61">
        <f t="shared" si="0"/>
        <v>8.6870173740347459E-2</v>
      </c>
      <c r="D5" s="62">
        <f>SUM(C$3:$C5)</f>
        <v>0.17542035084070165</v>
      </c>
      <c r="E5" s="130" t="s">
        <v>114</v>
      </c>
    </row>
    <row r="6" spans="1:5" x14ac:dyDescent="0.75">
      <c r="A6" s="4" t="s">
        <v>16</v>
      </c>
      <c r="B6" s="3">
        <v>8597</v>
      </c>
      <c r="C6" s="61">
        <f t="shared" si="0"/>
        <v>8.597017194034387E-2</v>
      </c>
      <c r="D6" s="63">
        <f>SUM(C$3:$C6)</f>
        <v>0.26139052278104552</v>
      </c>
      <c r="E6" s="131">
        <f>SUM(C3:C6)</f>
        <v>0.26139052278104552</v>
      </c>
    </row>
    <row r="7" spans="1:5" x14ac:dyDescent="0.75">
      <c r="A7" s="5" t="s">
        <v>0</v>
      </c>
      <c r="B7" s="3">
        <v>8474.1</v>
      </c>
      <c r="C7" s="61">
        <f t="shared" si="0"/>
        <v>8.4741169482338952E-2</v>
      </c>
      <c r="D7" s="62">
        <f>SUM(C$3:$C7)</f>
        <v>0.34613169226338447</v>
      </c>
      <c r="E7" s="129"/>
    </row>
    <row r="8" spans="1:5" x14ac:dyDescent="0.75">
      <c r="A8" s="5" t="s">
        <v>1</v>
      </c>
      <c r="B8" s="3">
        <v>8222.1</v>
      </c>
      <c r="C8" s="61">
        <f t="shared" si="0"/>
        <v>8.2221164442328867E-2</v>
      </c>
      <c r="D8" s="62">
        <f>SUM(C$3:$C8)</f>
        <v>0.42835285670571333</v>
      </c>
      <c r="E8" s="129"/>
    </row>
    <row r="9" spans="1:5" x14ac:dyDescent="0.75">
      <c r="A9" s="5" t="s">
        <v>2</v>
      </c>
      <c r="B9" s="3">
        <v>7928</v>
      </c>
      <c r="C9" s="61">
        <f t="shared" si="0"/>
        <v>7.9280158560317102E-2</v>
      </c>
      <c r="D9" s="62">
        <f>SUM(C$3:$C9)</f>
        <v>0.50763301526603044</v>
      </c>
      <c r="E9" s="129"/>
    </row>
    <row r="10" spans="1:5" x14ac:dyDescent="0.75">
      <c r="A10" s="5" t="s">
        <v>3</v>
      </c>
      <c r="B10" s="3">
        <v>7605.1</v>
      </c>
      <c r="C10" s="61">
        <f t="shared" si="0"/>
        <v>7.605115210230419E-2</v>
      </c>
      <c r="D10" s="62">
        <f>SUM(C$3:$C10)</f>
        <v>0.58368416736833462</v>
      </c>
      <c r="E10" s="129"/>
    </row>
    <row r="11" spans="1:5" x14ac:dyDescent="0.75">
      <c r="A11" s="5" t="s">
        <v>4</v>
      </c>
      <c r="B11" s="3">
        <v>7145.1</v>
      </c>
      <c r="C11" s="61">
        <f t="shared" si="0"/>
        <v>7.1451142902285797E-2</v>
      </c>
      <c r="D11" s="62">
        <f>SUM(C$3:$C11)</f>
        <v>0.65513531027062044</v>
      </c>
      <c r="E11" s="129"/>
    </row>
    <row r="12" spans="1:5" x14ac:dyDescent="0.75">
      <c r="A12" s="5" t="s">
        <v>5</v>
      </c>
      <c r="B12" s="3">
        <v>6590.1</v>
      </c>
      <c r="C12" s="61">
        <f t="shared" si="0"/>
        <v>6.5901131802263591E-2</v>
      </c>
      <c r="D12" s="62">
        <f>SUM(C$3:$C12)</f>
        <v>0.72103644207288409</v>
      </c>
      <c r="E12" s="129"/>
    </row>
    <row r="13" spans="1:5" x14ac:dyDescent="0.75">
      <c r="A13" s="5" t="s">
        <v>6</v>
      </c>
      <c r="B13" s="3">
        <v>6038.1</v>
      </c>
      <c r="C13" s="61">
        <f t="shared" si="0"/>
        <v>6.0381120762241516E-2</v>
      </c>
      <c r="D13" s="62">
        <f>SUM(C$3:$C13)</f>
        <v>0.78141756283512565</v>
      </c>
      <c r="E13" s="129"/>
    </row>
    <row r="14" spans="1:5" x14ac:dyDescent="0.75">
      <c r="A14" s="5" t="s">
        <v>7</v>
      </c>
      <c r="B14" s="3">
        <v>5371</v>
      </c>
      <c r="C14" s="61">
        <f t="shared" si="0"/>
        <v>5.3710107420214828E-2</v>
      </c>
      <c r="D14" s="62">
        <f>SUM(C$3:$C14)</f>
        <v>0.83512767025534052</v>
      </c>
      <c r="E14" s="130" t="s">
        <v>115</v>
      </c>
    </row>
    <row r="15" spans="1:5" x14ac:dyDescent="0.75">
      <c r="A15" s="5" t="s">
        <v>8</v>
      </c>
      <c r="B15" s="3">
        <v>4547.1000000000004</v>
      </c>
      <c r="C15" s="61">
        <f t="shared" si="0"/>
        <v>4.547109094218188E-2</v>
      </c>
      <c r="D15" s="63">
        <f>SUM(C$3:$C15)</f>
        <v>0.88059876119752234</v>
      </c>
      <c r="E15" s="131">
        <f>SUM(C7:C15)</f>
        <v>0.61920823841647676</v>
      </c>
    </row>
    <row r="16" spans="1:5" x14ac:dyDescent="0.75">
      <c r="A16" s="5" t="s">
        <v>9</v>
      </c>
      <c r="B16" s="3">
        <v>3723.1</v>
      </c>
      <c r="C16" s="61">
        <f t="shared" si="0"/>
        <v>3.7231074462148919E-2</v>
      </c>
      <c r="D16" s="62">
        <f>SUM(C$3:$C16)</f>
        <v>0.91782983565967124</v>
      </c>
      <c r="E16" s="129"/>
    </row>
    <row r="17" spans="1:5" x14ac:dyDescent="0.75">
      <c r="A17" s="5" t="s">
        <v>10</v>
      </c>
      <c r="B17" s="3">
        <v>2955</v>
      </c>
      <c r="C17" s="61">
        <f t="shared" si="0"/>
        <v>2.9550059100118195E-2</v>
      </c>
      <c r="D17" s="62">
        <f>SUM(C$3:$C17)</f>
        <v>0.94737989475978945</v>
      </c>
      <c r="E17" s="129"/>
    </row>
    <row r="18" spans="1:5" x14ac:dyDescent="0.75">
      <c r="A18" s="5" t="s">
        <v>11</v>
      </c>
      <c r="B18" s="3">
        <v>2210</v>
      </c>
      <c r="C18" s="61">
        <f t="shared" si="0"/>
        <v>2.2100044200088396E-2</v>
      </c>
      <c r="D18" s="62">
        <f>SUM(C$3:$C18)</f>
        <v>0.96947993895987783</v>
      </c>
      <c r="E18" s="129"/>
    </row>
    <row r="19" spans="1:5" x14ac:dyDescent="0.75">
      <c r="A19" s="5" t="s">
        <v>12</v>
      </c>
      <c r="B19" s="3">
        <v>1515</v>
      </c>
      <c r="C19" s="61">
        <f t="shared" si="0"/>
        <v>1.5150030300060598E-2</v>
      </c>
      <c r="D19" s="62">
        <f>SUM(C$3:$C19)</f>
        <v>0.9846299692599384</v>
      </c>
      <c r="E19" s="129"/>
    </row>
    <row r="20" spans="1:5" x14ac:dyDescent="0.75">
      <c r="A20" s="5" t="s">
        <v>13</v>
      </c>
      <c r="B20" s="3">
        <v>905</v>
      </c>
      <c r="C20" s="61">
        <f t="shared" si="0"/>
        <v>9.050018100036198E-3</v>
      </c>
      <c r="D20" s="62">
        <f>SUM(C$3:$C20)</f>
        <v>0.99367998735997465</v>
      </c>
      <c r="E20" s="130" t="s">
        <v>116</v>
      </c>
    </row>
    <row r="21" spans="1:5" x14ac:dyDescent="0.75">
      <c r="A21" s="5" t="s">
        <v>14</v>
      </c>
      <c r="B21" s="3">
        <v>632</v>
      </c>
      <c r="C21" s="61">
        <f t="shared" si="0"/>
        <v>6.3200126400252792E-3</v>
      </c>
      <c r="D21" s="63">
        <f>SUM(C$3:$C21)</f>
        <v>0.99999999999999989</v>
      </c>
      <c r="E21" s="131">
        <f>SUM(C16:C21)</f>
        <v>0.11940123880247759</v>
      </c>
    </row>
    <row r="22" spans="1:5" x14ac:dyDescent="0.75">
      <c r="A22" s="34" t="s">
        <v>19</v>
      </c>
      <c r="B22" s="87">
        <f>SUM(B3:B21)</f>
        <v>99999.800000000017</v>
      </c>
      <c r="C22" s="88">
        <f t="shared" si="0"/>
        <v>1</v>
      </c>
      <c r="D22" s="34"/>
      <c r="E22" s="132"/>
    </row>
  </sheetData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2" workbookViewId="0">
      <selection activeCell="C24" sqref="C24"/>
    </sheetView>
  </sheetViews>
  <sheetFormatPr defaultRowHeight="18.45" x14ac:dyDescent="0.75"/>
  <cols>
    <col min="1" max="1" width="10.42578125" style="1" customWidth="1"/>
    <col min="2" max="2" width="10.35546875" style="1" bestFit="1" customWidth="1"/>
    <col min="3" max="3" width="9.35546875" style="1" bestFit="1" customWidth="1"/>
    <col min="4" max="4" width="9.140625" style="1"/>
    <col min="5" max="6" width="10.92578125" style="1" customWidth="1"/>
    <col min="7" max="16384" width="9.140625" style="1"/>
  </cols>
  <sheetData>
    <row r="1" spans="1:7" ht="20.6" x14ac:dyDescent="0.75">
      <c r="A1" s="89" t="s">
        <v>30</v>
      </c>
      <c r="B1" s="89"/>
      <c r="C1" s="89"/>
      <c r="D1" s="89"/>
      <c r="E1" s="89"/>
      <c r="F1" s="89"/>
      <c r="G1" s="89"/>
    </row>
    <row r="2" spans="1:7" ht="20.6" x14ac:dyDescent="0.75">
      <c r="A2" s="24" t="s">
        <v>33</v>
      </c>
      <c r="B2" s="90" t="s">
        <v>35</v>
      </c>
      <c r="C2" s="90"/>
      <c r="D2" s="90"/>
      <c r="E2" s="90"/>
      <c r="F2" s="90"/>
      <c r="G2" s="90"/>
    </row>
    <row r="3" spans="1:7" ht="20.6" x14ac:dyDescent="0.75">
      <c r="A3" s="89" t="s">
        <v>34</v>
      </c>
      <c r="B3" s="89"/>
      <c r="C3" s="30">
        <v>100000</v>
      </c>
      <c r="D3" s="28" t="s">
        <v>32</v>
      </c>
      <c r="E3" s="24" t="s">
        <v>31</v>
      </c>
      <c r="F3" s="29">
        <v>5</v>
      </c>
      <c r="G3" s="24" t="s">
        <v>29</v>
      </c>
    </row>
    <row r="4" spans="1:7" ht="41.15" x14ac:dyDescent="0.75">
      <c r="A4" s="26" t="s">
        <v>25</v>
      </c>
      <c r="B4" s="14" t="s">
        <v>21</v>
      </c>
      <c r="C4" s="15" t="s">
        <v>22</v>
      </c>
      <c r="D4" s="15" t="s">
        <v>20</v>
      </c>
      <c r="E4" s="20" t="s">
        <v>23</v>
      </c>
      <c r="F4" s="20" t="s">
        <v>28</v>
      </c>
      <c r="G4" s="15" t="s">
        <v>26</v>
      </c>
    </row>
    <row r="5" spans="1:7" x14ac:dyDescent="0.75">
      <c r="A5" s="2" t="s">
        <v>18</v>
      </c>
      <c r="B5" s="19"/>
      <c r="C5" s="19">
        <v>0</v>
      </c>
      <c r="D5" s="6">
        <f>IF(B5=0,0,C5/B5)</f>
        <v>0</v>
      </c>
      <c r="E5" s="3">
        <v>1822</v>
      </c>
      <c r="F5" s="3">
        <f>IF(C5=0,0,E5)</f>
        <v>0</v>
      </c>
      <c r="G5" s="7">
        <f t="shared" ref="G5:G23" si="0">D5*E5</f>
        <v>0</v>
      </c>
    </row>
    <row r="6" spans="1:7" x14ac:dyDescent="0.75">
      <c r="A6" s="2" t="s">
        <v>17</v>
      </c>
      <c r="B6" s="19"/>
      <c r="C6" s="19">
        <v>0</v>
      </c>
      <c r="D6" s="6">
        <f t="shared" ref="D6:D23" si="1">IF(B6=0,0,C6/B6)</f>
        <v>0</v>
      </c>
      <c r="E6" s="3">
        <v>7033</v>
      </c>
      <c r="F6" s="3">
        <f t="shared" ref="F6:F23" si="2">IF(C6=0,0,E6)</f>
        <v>0</v>
      </c>
      <c r="G6" s="7">
        <f t="shared" si="0"/>
        <v>0</v>
      </c>
    </row>
    <row r="7" spans="1:7" x14ac:dyDescent="0.75">
      <c r="A7" s="4" t="s">
        <v>15</v>
      </c>
      <c r="B7" s="19"/>
      <c r="C7" s="19">
        <v>0</v>
      </c>
      <c r="D7" s="6">
        <f t="shared" si="1"/>
        <v>0</v>
      </c>
      <c r="E7" s="3">
        <v>8687</v>
      </c>
      <c r="F7" s="3">
        <f t="shared" si="2"/>
        <v>0</v>
      </c>
      <c r="G7" s="7">
        <f t="shared" si="0"/>
        <v>0</v>
      </c>
    </row>
    <row r="8" spans="1:7" x14ac:dyDescent="0.75">
      <c r="A8" s="4" t="s">
        <v>16</v>
      </c>
      <c r="B8" s="19"/>
      <c r="C8" s="19">
        <v>0</v>
      </c>
      <c r="D8" s="6">
        <f t="shared" si="1"/>
        <v>0</v>
      </c>
      <c r="E8" s="3">
        <v>8597</v>
      </c>
      <c r="F8" s="3">
        <f t="shared" si="2"/>
        <v>0</v>
      </c>
      <c r="G8" s="7">
        <f t="shared" si="0"/>
        <v>0</v>
      </c>
    </row>
    <row r="9" spans="1:7" x14ac:dyDescent="0.75">
      <c r="A9" s="5" t="s">
        <v>0</v>
      </c>
      <c r="B9" s="19"/>
      <c r="C9" s="19">
        <v>0</v>
      </c>
      <c r="D9" s="6">
        <f t="shared" si="1"/>
        <v>0</v>
      </c>
      <c r="E9" s="3">
        <v>8474.1</v>
      </c>
      <c r="F9" s="3">
        <f t="shared" si="2"/>
        <v>0</v>
      </c>
      <c r="G9" s="7">
        <f t="shared" si="0"/>
        <v>0</v>
      </c>
    </row>
    <row r="10" spans="1:7" x14ac:dyDescent="0.75">
      <c r="A10" s="5" t="s">
        <v>1</v>
      </c>
      <c r="B10" s="19"/>
      <c r="C10" s="19">
        <v>0</v>
      </c>
      <c r="D10" s="6">
        <f t="shared" si="1"/>
        <v>0</v>
      </c>
      <c r="E10" s="3">
        <v>8222.1</v>
      </c>
      <c r="F10" s="3">
        <f t="shared" si="2"/>
        <v>0</v>
      </c>
      <c r="G10" s="7">
        <f t="shared" si="0"/>
        <v>0</v>
      </c>
    </row>
    <row r="11" spans="1:7" x14ac:dyDescent="0.75">
      <c r="A11" s="5" t="s">
        <v>2</v>
      </c>
      <c r="B11" s="19"/>
      <c r="C11" s="19">
        <v>0</v>
      </c>
      <c r="D11" s="6">
        <f t="shared" si="1"/>
        <v>0</v>
      </c>
      <c r="E11" s="3">
        <v>7928</v>
      </c>
      <c r="F11" s="3">
        <f t="shared" si="2"/>
        <v>0</v>
      </c>
      <c r="G11" s="7">
        <f t="shared" si="0"/>
        <v>0</v>
      </c>
    </row>
    <row r="12" spans="1:7" x14ac:dyDescent="0.75">
      <c r="A12" s="5" t="s">
        <v>3</v>
      </c>
      <c r="B12" s="16">
        <v>292175</v>
      </c>
      <c r="C12" s="17">
        <v>46</v>
      </c>
      <c r="D12" s="6">
        <f t="shared" si="1"/>
        <v>1.5743989047659792E-4</v>
      </c>
      <c r="E12" s="3">
        <v>7605.1</v>
      </c>
      <c r="F12" s="3">
        <f t="shared" si="2"/>
        <v>7605.1</v>
      </c>
      <c r="G12" s="7">
        <f t="shared" si="0"/>
        <v>1.1973461110635748</v>
      </c>
    </row>
    <row r="13" spans="1:7" x14ac:dyDescent="0.75">
      <c r="A13" s="5" t="s">
        <v>4</v>
      </c>
      <c r="B13" s="16">
        <v>282208</v>
      </c>
      <c r="C13" s="17">
        <v>173</v>
      </c>
      <c r="D13" s="6">
        <f t="shared" si="1"/>
        <v>6.1302301848282115E-4</v>
      </c>
      <c r="E13" s="3">
        <v>7145.1</v>
      </c>
      <c r="F13" s="3">
        <f t="shared" si="2"/>
        <v>7145.1</v>
      </c>
      <c r="G13" s="7">
        <f t="shared" si="0"/>
        <v>4.3801107693616057</v>
      </c>
    </row>
    <row r="14" spans="1:7" x14ac:dyDescent="0.75">
      <c r="A14" s="5" t="s">
        <v>5</v>
      </c>
      <c r="B14" s="16">
        <v>297513</v>
      </c>
      <c r="C14" s="17">
        <v>354</v>
      </c>
      <c r="D14" s="6">
        <f t="shared" si="1"/>
        <v>1.189863972330621E-3</v>
      </c>
      <c r="E14" s="3">
        <v>6590.1</v>
      </c>
      <c r="F14" s="3">
        <f t="shared" si="2"/>
        <v>6590.1</v>
      </c>
      <c r="G14" s="7">
        <f t="shared" si="0"/>
        <v>7.8413225640560258</v>
      </c>
    </row>
    <row r="15" spans="1:7" x14ac:dyDescent="0.75">
      <c r="A15" s="5" t="s">
        <v>6</v>
      </c>
      <c r="B15" s="16">
        <v>290650</v>
      </c>
      <c r="C15" s="17">
        <v>554</v>
      </c>
      <c r="D15" s="6">
        <f t="shared" si="1"/>
        <v>1.9060725959057286E-3</v>
      </c>
      <c r="E15" s="3">
        <v>6038.1</v>
      </c>
      <c r="F15" s="3">
        <f t="shared" si="2"/>
        <v>6038.1</v>
      </c>
      <c r="G15" s="7">
        <f t="shared" si="0"/>
        <v>11.509056941338381</v>
      </c>
    </row>
    <row r="16" spans="1:7" x14ac:dyDescent="0.75">
      <c r="A16" s="5" t="s">
        <v>7</v>
      </c>
      <c r="B16" s="16">
        <v>255072</v>
      </c>
      <c r="C16" s="17">
        <v>581</v>
      </c>
      <c r="D16" s="6">
        <f t="shared" si="1"/>
        <v>2.2777882323422407E-3</v>
      </c>
      <c r="E16" s="3">
        <v>5371</v>
      </c>
      <c r="F16" s="3">
        <f t="shared" si="2"/>
        <v>5371</v>
      </c>
      <c r="G16" s="7">
        <f t="shared" si="0"/>
        <v>12.234000595910175</v>
      </c>
    </row>
    <row r="17" spans="1:7" x14ac:dyDescent="0.75">
      <c r="A17" s="5" t="s">
        <v>8</v>
      </c>
      <c r="B17" s="16">
        <v>209463</v>
      </c>
      <c r="C17" s="17">
        <v>534</v>
      </c>
      <c r="D17" s="6">
        <f t="shared" si="1"/>
        <v>2.5493762621560849E-3</v>
      </c>
      <c r="E17" s="3">
        <v>4547.1000000000004</v>
      </c>
      <c r="F17" s="3">
        <f t="shared" si="2"/>
        <v>4547.1000000000004</v>
      </c>
      <c r="G17" s="7">
        <f t="shared" si="0"/>
        <v>11.592268801649935</v>
      </c>
    </row>
    <row r="18" spans="1:7" x14ac:dyDescent="0.75">
      <c r="A18" s="5" t="s">
        <v>9</v>
      </c>
      <c r="B18" s="16">
        <v>161750</v>
      </c>
      <c r="C18" s="17">
        <v>381</v>
      </c>
      <c r="D18" s="6">
        <f t="shared" si="1"/>
        <v>2.35548686244204E-3</v>
      </c>
      <c r="E18" s="3">
        <v>3723.1</v>
      </c>
      <c r="F18" s="3">
        <f t="shared" si="2"/>
        <v>3723.1</v>
      </c>
      <c r="G18" s="7">
        <f t="shared" si="0"/>
        <v>8.7697131375579591</v>
      </c>
    </row>
    <row r="19" spans="1:7" x14ac:dyDescent="0.75">
      <c r="A19" s="5" t="s">
        <v>10</v>
      </c>
      <c r="B19" s="16">
        <f>112190+1050</f>
        <v>113240</v>
      </c>
      <c r="C19" s="17">
        <f>246+87</f>
        <v>333</v>
      </c>
      <c r="D19" s="6">
        <f t="shared" si="1"/>
        <v>2.9406570116566584E-3</v>
      </c>
      <c r="E19" s="3">
        <v>2955</v>
      </c>
      <c r="F19" s="3">
        <f t="shared" si="2"/>
        <v>2955</v>
      </c>
      <c r="G19" s="7">
        <f t="shared" si="0"/>
        <v>8.6896414694454265</v>
      </c>
    </row>
    <row r="20" spans="1:7" x14ac:dyDescent="0.75">
      <c r="A20" s="5" t="s">
        <v>11</v>
      </c>
      <c r="B20" s="16"/>
      <c r="C20" s="17">
        <v>0</v>
      </c>
      <c r="D20" s="6">
        <f t="shared" si="1"/>
        <v>0</v>
      </c>
      <c r="E20" s="3">
        <v>2210</v>
      </c>
      <c r="F20" s="3">
        <f t="shared" si="2"/>
        <v>0</v>
      </c>
      <c r="G20" s="7">
        <f t="shared" si="0"/>
        <v>0</v>
      </c>
    </row>
    <row r="21" spans="1:7" x14ac:dyDescent="0.75">
      <c r="A21" s="5" t="s">
        <v>12</v>
      </c>
      <c r="B21" s="16"/>
      <c r="C21" s="17">
        <v>0</v>
      </c>
      <c r="D21" s="6">
        <f t="shared" si="1"/>
        <v>0</v>
      </c>
      <c r="E21" s="3">
        <v>1515</v>
      </c>
      <c r="F21" s="3">
        <f t="shared" si="2"/>
        <v>0</v>
      </c>
      <c r="G21" s="7">
        <f t="shared" si="0"/>
        <v>0</v>
      </c>
    </row>
    <row r="22" spans="1:7" x14ac:dyDescent="0.75">
      <c r="A22" s="5" t="s">
        <v>13</v>
      </c>
      <c r="B22" s="16"/>
      <c r="C22" s="17">
        <v>0</v>
      </c>
      <c r="D22" s="6">
        <f t="shared" si="1"/>
        <v>0</v>
      </c>
      <c r="E22" s="3">
        <v>905</v>
      </c>
      <c r="F22" s="3">
        <f t="shared" si="2"/>
        <v>0</v>
      </c>
      <c r="G22" s="7">
        <f t="shared" si="0"/>
        <v>0</v>
      </c>
    </row>
    <row r="23" spans="1:7" x14ac:dyDescent="0.75">
      <c r="A23" s="5" t="s">
        <v>14</v>
      </c>
      <c r="B23" s="16"/>
      <c r="C23" s="17">
        <v>0</v>
      </c>
      <c r="D23" s="6">
        <f t="shared" si="1"/>
        <v>0</v>
      </c>
      <c r="E23" s="3">
        <v>632</v>
      </c>
      <c r="F23" s="3">
        <f t="shared" si="2"/>
        <v>0</v>
      </c>
      <c r="G23" s="7">
        <f t="shared" si="0"/>
        <v>0</v>
      </c>
    </row>
    <row r="24" spans="1:7" x14ac:dyDescent="0.75">
      <c r="A24" s="8" t="s">
        <v>19</v>
      </c>
      <c r="B24" s="9">
        <f>SUM(B5:B23)</f>
        <v>1902071</v>
      </c>
      <c r="C24" s="9">
        <f>SUM(C5:C23)</f>
        <v>2956</v>
      </c>
      <c r="D24" s="8"/>
      <c r="E24" s="9">
        <f>SUM(E5:E23)</f>
        <v>99999.800000000017</v>
      </c>
      <c r="F24" s="9">
        <f>SUM(F5:F23)</f>
        <v>43974.6</v>
      </c>
      <c r="G24" s="21">
        <f>SUM(G5:G23)</f>
        <v>66.213460390383091</v>
      </c>
    </row>
    <row r="25" spans="1:7" x14ac:dyDescent="0.75">
      <c r="A25" s="27" t="s">
        <v>27</v>
      </c>
      <c r="B25" s="11"/>
      <c r="C25" s="12">
        <f>C24*100000/(B24*F3)</f>
        <v>31.081910191575393</v>
      </c>
      <c r="D25" s="22"/>
      <c r="E25" s="23"/>
      <c r="F25" s="10" t="s">
        <v>24</v>
      </c>
      <c r="G25" s="12">
        <f>G24*100000/(F24*F3)</f>
        <v>30.114411678734129</v>
      </c>
    </row>
  </sheetData>
  <sheetProtection algorithmName="SHA-512" hashValue="1fbV1XOPSKtog/uBjgpSLv6NFewSjKRD14SUBBg3vVPMYDTPEoqXRMfANUlJQM/Sk9qwLXf+Ho/Oy20iBtmLCw==" saltValue="bS6dX7gJyFX4PoILKkj8FA==" spinCount="100000" sheet="1" objects="1" scenarios="1"/>
  <mergeCells count="3">
    <mergeCell ref="A1:G1"/>
    <mergeCell ref="B2:G2"/>
    <mergeCell ref="A3:B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96" zoomScaleNormal="96" workbookViewId="0">
      <selection activeCell="C7" sqref="C7"/>
    </sheetView>
  </sheetViews>
  <sheetFormatPr defaultRowHeight="13.75" x14ac:dyDescent="0.3"/>
  <cols>
    <col min="1" max="1" width="9.92578125" customWidth="1"/>
    <col min="2" max="2" width="13.7109375" customWidth="1"/>
    <col min="3" max="3" width="15.2109375" customWidth="1"/>
    <col min="4" max="4" width="12.78515625" customWidth="1"/>
    <col min="5" max="5" width="10.640625" bestFit="1" customWidth="1"/>
    <col min="6" max="6" width="1.92578125" customWidth="1"/>
    <col min="7" max="7" width="5.85546875" customWidth="1"/>
    <col min="8" max="8" width="6.28515625" customWidth="1"/>
  </cols>
  <sheetData>
    <row r="1" spans="1:8" ht="20.6" customHeight="1" x14ac:dyDescent="0.3">
      <c r="A1" s="128" t="s">
        <v>79</v>
      </c>
      <c r="B1" s="128"/>
      <c r="C1" s="128"/>
      <c r="D1" s="128"/>
      <c r="E1" s="128"/>
    </row>
    <row r="2" spans="1:8" ht="14.15" hidden="1" thickBot="1" x14ac:dyDescent="0.35">
      <c r="A2" s="111" t="s">
        <v>71</v>
      </c>
      <c r="B2" s="111"/>
      <c r="C2" s="111"/>
      <c r="D2" s="111"/>
      <c r="E2" s="95"/>
    </row>
    <row r="3" spans="1:8" hidden="1" x14ac:dyDescent="0.3">
      <c r="A3" s="118" t="s">
        <v>82</v>
      </c>
      <c r="B3" s="119"/>
      <c r="C3" s="122" t="s">
        <v>83</v>
      </c>
      <c r="D3" s="123"/>
      <c r="E3" s="68"/>
    </row>
    <row r="4" spans="1:8" ht="14.15" hidden="1" thickBot="1" x14ac:dyDescent="0.35">
      <c r="A4" s="120" t="s">
        <v>81</v>
      </c>
      <c r="B4" s="121"/>
      <c r="C4" s="124" t="s">
        <v>80</v>
      </c>
      <c r="D4" s="125"/>
      <c r="E4" s="68"/>
    </row>
    <row r="5" spans="1:8" ht="24.9" customHeight="1" x14ac:dyDescent="0.3">
      <c r="A5" s="112"/>
      <c r="B5" s="112"/>
      <c r="C5" s="113" t="str">
        <f>C4</f>
        <v>Confirmation Test</v>
      </c>
      <c r="D5" s="113"/>
      <c r="E5" s="114" t="s">
        <v>54</v>
      </c>
    </row>
    <row r="6" spans="1:8" ht="30" customHeight="1" x14ac:dyDescent="0.3">
      <c r="A6" s="112"/>
      <c r="B6" s="112"/>
      <c r="C6" s="71" t="s">
        <v>77</v>
      </c>
      <c r="D6" s="71" t="s">
        <v>78</v>
      </c>
      <c r="E6" s="115"/>
      <c r="G6" s="54"/>
    </row>
    <row r="7" spans="1:8" ht="33.9" customHeight="1" x14ac:dyDescent="0.3">
      <c r="A7" s="117" t="str">
        <f>C3</f>
        <v>Screening Test</v>
      </c>
      <c r="B7" s="72" t="s">
        <v>77</v>
      </c>
      <c r="C7" s="75" t="s">
        <v>84</v>
      </c>
      <c r="D7" s="75" t="s">
        <v>42</v>
      </c>
      <c r="E7" s="76" t="s">
        <v>89</v>
      </c>
      <c r="G7" s="81" t="s">
        <v>99</v>
      </c>
      <c r="H7" s="81" t="s">
        <v>100</v>
      </c>
    </row>
    <row r="8" spans="1:8" ht="37.299999999999997" customHeight="1" x14ac:dyDescent="0.3">
      <c r="A8" s="117"/>
      <c r="B8" s="72" t="s">
        <v>78</v>
      </c>
      <c r="C8" s="75" t="s">
        <v>85</v>
      </c>
      <c r="D8" s="75" t="s">
        <v>86</v>
      </c>
      <c r="E8" s="76" t="s">
        <v>90</v>
      </c>
      <c r="G8" s="81" t="s">
        <v>101</v>
      </c>
      <c r="H8" s="81" t="s">
        <v>102</v>
      </c>
    </row>
    <row r="9" spans="1:8" ht="30.9" customHeight="1" x14ac:dyDescent="0.3">
      <c r="A9" s="108" t="s">
        <v>54</v>
      </c>
      <c r="B9" s="109"/>
      <c r="C9" s="76" t="s">
        <v>87</v>
      </c>
      <c r="D9" s="76" t="s">
        <v>88</v>
      </c>
      <c r="E9" s="76" t="s">
        <v>91</v>
      </c>
    </row>
    <row r="10" spans="1:8" x14ac:dyDescent="0.3">
      <c r="A10" s="127" t="s">
        <v>93</v>
      </c>
      <c r="B10" s="127"/>
      <c r="C10" s="77" t="s">
        <v>96</v>
      </c>
      <c r="D10" s="64"/>
    </row>
    <row r="11" spans="1:8" x14ac:dyDescent="0.3">
      <c r="A11" s="107" t="s">
        <v>104</v>
      </c>
      <c r="B11" s="107"/>
      <c r="C11" s="77" t="s">
        <v>92</v>
      </c>
    </row>
    <row r="12" spans="1:8" x14ac:dyDescent="0.3">
      <c r="A12" s="107" t="s">
        <v>105</v>
      </c>
      <c r="B12" s="107"/>
      <c r="C12" s="77" t="s">
        <v>97</v>
      </c>
      <c r="D12" s="79"/>
    </row>
    <row r="13" spans="1:8" x14ac:dyDescent="0.3">
      <c r="A13" s="106" t="s">
        <v>106</v>
      </c>
      <c r="B13" s="106"/>
      <c r="C13" s="77" t="s">
        <v>94</v>
      </c>
      <c r="D13" s="79"/>
    </row>
    <row r="14" spans="1:8" x14ac:dyDescent="0.3">
      <c r="A14" s="106" t="s">
        <v>103</v>
      </c>
      <c r="B14" s="106"/>
      <c r="C14" s="78" t="s">
        <v>95</v>
      </c>
      <c r="D14" s="80"/>
    </row>
    <row r="15" spans="1:8" x14ac:dyDescent="0.3">
      <c r="A15" s="106" t="s">
        <v>107</v>
      </c>
      <c r="B15" s="106"/>
      <c r="C15" s="78" t="s">
        <v>98</v>
      </c>
      <c r="D15" s="80"/>
    </row>
  </sheetData>
  <mergeCells count="17">
    <mergeCell ref="A11:B11"/>
    <mergeCell ref="A12:B12"/>
    <mergeCell ref="A13:B13"/>
    <mergeCell ref="A14:B14"/>
    <mergeCell ref="A15:B15"/>
    <mergeCell ref="A10:B10"/>
    <mergeCell ref="A1:E1"/>
    <mergeCell ref="A2:E2"/>
    <mergeCell ref="A3:B3"/>
    <mergeCell ref="C3:D3"/>
    <mergeCell ref="A4:B4"/>
    <mergeCell ref="C4:D4"/>
    <mergeCell ref="A5:B6"/>
    <mergeCell ref="C5:D5"/>
    <mergeCell ref="E5:E6"/>
    <mergeCell ref="A7:A8"/>
    <mergeCell ref="A9:B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Exercise1</vt:lpstr>
      <vt:lpstr>Exercise2</vt:lpstr>
      <vt:lpstr>Exercise3</vt:lpstr>
      <vt:lpstr>Exercise4</vt:lpstr>
      <vt:lpstr>standardPop</vt:lpstr>
      <vt:lpstr>incidence</vt:lpstr>
      <vt:lpstr>Screening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2020-06-29T22:35:22Z</cp:lastPrinted>
  <dcterms:created xsi:type="dcterms:W3CDTF">2020-06-25T10:19:31Z</dcterms:created>
  <dcterms:modified xsi:type="dcterms:W3CDTF">2020-07-06T12:19:45Z</dcterms:modified>
</cp:coreProperties>
</file>